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110" windowHeight="11490" activeTab="1"/>
  </bookViews>
  <sheets>
    <sheet name="Лист1" sheetId="3" r:id="rId1"/>
    <sheet name="Упаковка" sheetId="4" r:id="rId2"/>
  </sheets>
  <calcPr calcId="162913"/>
</workbook>
</file>

<file path=xl/calcChain.xml><?xml version="1.0" encoding="utf-8"?>
<calcChain xmlns="http://schemas.openxmlformats.org/spreadsheetml/2006/main">
  <c r="K63" i="4" l="1"/>
  <c r="V63" i="4" s="1"/>
  <c r="K69" i="4"/>
  <c r="V69" i="4" s="1"/>
  <c r="K68" i="4"/>
  <c r="K67" i="4"/>
  <c r="V67" i="4" s="1"/>
  <c r="K66" i="4"/>
  <c r="AA66" i="4" s="1"/>
  <c r="K65" i="4"/>
  <c r="K64" i="4"/>
  <c r="V64" i="4" s="1"/>
  <c r="AA63" i="4"/>
  <c r="K62" i="4"/>
  <c r="K61" i="4"/>
  <c r="V61" i="4" s="1"/>
  <c r="J62" i="4"/>
  <c r="Z62" i="4" s="1"/>
  <c r="J63" i="4"/>
  <c r="U63" i="4" s="1"/>
  <c r="J64" i="4"/>
  <c r="J65" i="4"/>
  <c r="U65" i="4" s="1"/>
  <c r="J66" i="4"/>
  <c r="J67" i="4"/>
  <c r="U67" i="4" s="1"/>
  <c r="J68" i="4"/>
  <c r="J69" i="4"/>
  <c r="U69" i="4" s="1"/>
  <c r="J61" i="4"/>
  <c r="Z61" i="4" s="1"/>
  <c r="I69" i="4"/>
  <c r="T69" i="4" s="1"/>
  <c r="I68" i="4"/>
  <c r="T68" i="4" s="1"/>
  <c r="I67" i="4"/>
  <c r="T67" i="4" s="1"/>
  <c r="I66" i="4"/>
  <c r="T66" i="4" s="1"/>
  <c r="I65" i="4"/>
  <c r="Y65" i="4" s="1"/>
  <c r="I64" i="4"/>
  <c r="T64" i="4" s="1"/>
  <c r="I63" i="4"/>
  <c r="T63" i="4" s="1"/>
  <c r="I62" i="4"/>
  <c r="T62" i="4" s="1"/>
  <c r="I61" i="4"/>
  <c r="T61" i="4" s="1"/>
  <c r="H62" i="4"/>
  <c r="H63" i="4"/>
  <c r="X63" i="4" s="1"/>
  <c r="H64" i="4"/>
  <c r="H65" i="4"/>
  <c r="S65" i="4" s="1"/>
  <c r="H66" i="4"/>
  <c r="H67" i="4"/>
  <c r="H68" i="4"/>
  <c r="S68" i="4" s="1"/>
  <c r="H69" i="4"/>
  <c r="X69" i="4" s="1"/>
  <c r="H61" i="4"/>
  <c r="X61" i="4" s="1"/>
  <c r="S62" i="4"/>
  <c r="V62" i="4"/>
  <c r="X62" i="4"/>
  <c r="AA62" i="4"/>
  <c r="S64" i="4"/>
  <c r="U64" i="4"/>
  <c r="X64" i="4"/>
  <c r="Z64" i="4"/>
  <c r="AA64" i="4"/>
  <c r="V65" i="4"/>
  <c r="Z65" i="4"/>
  <c r="AA65" i="4"/>
  <c r="S66" i="4"/>
  <c r="U66" i="4"/>
  <c r="V66" i="4"/>
  <c r="X66" i="4"/>
  <c r="Z66" i="4"/>
  <c r="S67" i="4"/>
  <c r="X67" i="4"/>
  <c r="U68" i="4"/>
  <c r="V68" i="4"/>
  <c r="Z68" i="4"/>
  <c r="AA68" i="4"/>
  <c r="S69" i="4"/>
  <c r="Z69" i="4"/>
  <c r="AA69" i="4"/>
  <c r="K49" i="4"/>
  <c r="I50" i="4"/>
  <c r="I49" i="4"/>
  <c r="I48" i="4"/>
  <c r="I47" i="4"/>
  <c r="T47" i="4" s="1"/>
  <c r="AA47" i="4"/>
  <c r="K47" i="4"/>
  <c r="V47" i="4" s="1"/>
  <c r="K37" i="4"/>
  <c r="K36" i="4"/>
  <c r="K35" i="4"/>
  <c r="I37" i="4"/>
  <c r="I36" i="4"/>
  <c r="I35" i="4"/>
  <c r="T33" i="4"/>
  <c r="K33" i="4"/>
  <c r="AA33" i="4" s="1"/>
  <c r="I33" i="4"/>
  <c r="Y33" i="4" s="1"/>
  <c r="K23" i="4"/>
  <c r="K22" i="4"/>
  <c r="K21" i="4"/>
  <c r="I21" i="4"/>
  <c r="I20" i="4"/>
  <c r="I19" i="4"/>
  <c r="T19" i="4" s="1"/>
  <c r="K19" i="4"/>
  <c r="AA19" i="4" s="1"/>
  <c r="H5" i="4"/>
  <c r="V33" i="4" l="1"/>
  <c r="Z67" i="4"/>
  <c r="Z63" i="4"/>
  <c r="U62" i="4"/>
  <c r="U61" i="4"/>
  <c r="Y67" i="4"/>
  <c r="X68" i="4"/>
  <c r="S63" i="4"/>
  <c r="AA67" i="4"/>
  <c r="AA61" i="4"/>
  <c r="Y68" i="4"/>
  <c r="Y66" i="4"/>
  <c r="T65" i="4"/>
  <c r="Y64" i="4"/>
  <c r="Y63" i="4"/>
  <c r="Y62" i="4"/>
  <c r="Y61" i="4"/>
  <c r="X65" i="4"/>
  <c r="S61" i="4"/>
  <c r="Y69" i="4"/>
  <c r="Y47" i="4"/>
  <c r="V19" i="4"/>
  <c r="Y19" i="4"/>
  <c r="K5" i="4"/>
  <c r="I5" i="4"/>
  <c r="I6" i="4"/>
  <c r="I7" i="4"/>
  <c r="K7" i="4"/>
  <c r="I8" i="4"/>
  <c r="K8" i="4"/>
  <c r="K9" i="4"/>
  <c r="I9" i="4"/>
  <c r="AA5" i="4" l="1"/>
  <c r="V5" i="4"/>
  <c r="Y5" i="4"/>
  <c r="T5" i="4"/>
  <c r="I51" i="4"/>
  <c r="Y51" i="4" l="1"/>
  <c r="Y50" i="4"/>
  <c r="AA49" i="4"/>
  <c r="Y49" i="4"/>
  <c r="Y48" i="4"/>
  <c r="AA37" i="4"/>
  <c r="Y37" i="4"/>
  <c r="AA36" i="4"/>
  <c r="Y36" i="4"/>
  <c r="AA35" i="4"/>
  <c r="Y35" i="4"/>
  <c r="AA23" i="4"/>
  <c r="AA22" i="4"/>
  <c r="AA21" i="4"/>
  <c r="Y21" i="4"/>
  <c r="Y20" i="4"/>
  <c r="AA7" i="4"/>
  <c r="AA8" i="4"/>
  <c r="AA9" i="4"/>
  <c r="Y7" i="4"/>
  <c r="Y8" i="4"/>
  <c r="Y9" i="4"/>
  <c r="Y6" i="4"/>
  <c r="X5" i="4"/>
  <c r="T51" i="4" l="1"/>
  <c r="I23" i="4" l="1"/>
  <c r="T20" i="4"/>
  <c r="I22" i="4"/>
  <c r="T22" i="4" l="1"/>
  <c r="Y22" i="4"/>
  <c r="T23" i="4"/>
  <c r="Y23" i="4"/>
  <c r="H47" i="4"/>
  <c r="J47" i="4"/>
  <c r="H33" i="4"/>
  <c r="J33" i="4"/>
  <c r="N19" i="4"/>
  <c r="N33" i="4" s="1"/>
  <c r="N47" i="4" s="1"/>
  <c r="N61" i="4" s="1"/>
  <c r="O19" i="4"/>
  <c r="O33" i="4" s="1"/>
  <c r="O47" i="4" s="1"/>
  <c r="O61" i="4" s="1"/>
  <c r="P19" i="4"/>
  <c r="P33" i="4" s="1"/>
  <c r="P47" i="4" s="1"/>
  <c r="P61" i="4" s="1"/>
  <c r="Q19" i="4"/>
  <c r="Q33" i="4" s="1"/>
  <c r="Q47" i="4" s="1"/>
  <c r="Q61" i="4" s="1"/>
  <c r="H19" i="4"/>
  <c r="J19" i="4"/>
  <c r="S5" i="4"/>
  <c r="H6" i="4"/>
  <c r="J5" i="4"/>
  <c r="S6" i="4" l="1"/>
  <c r="X6" i="4"/>
  <c r="U33" i="4"/>
  <c r="Z33" i="4"/>
  <c r="U5" i="4"/>
  <c r="Z5" i="4"/>
  <c r="U47" i="4"/>
  <c r="Z47" i="4"/>
  <c r="S47" i="4"/>
  <c r="X47" i="4"/>
  <c r="S33" i="4"/>
  <c r="X33" i="4"/>
  <c r="U19" i="4"/>
  <c r="Z19" i="4"/>
  <c r="S19" i="4"/>
  <c r="X19" i="4"/>
  <c r="K55" i="4"/>
  <c r="K54" i="4"/>
  <c r="K53" i="4"/>
  <c r="K52" i="4"/>
  <c r="K51" i="4"/>
  <c r="K50" i="4"/>
  <c r="V49" i="4"/>
  <c r="K48" i="4"/>
  <c r="J55" i="4"/>
  <c r="J54" i="4"/>
  <c r="J53" i="4"/>
  <c r="J52" i="4"/>
  <c r="J51" i="4"/>
  <c r="J50" i="4"/>
  <c r="J49" i="4"/>
  <c r="J48" i="4"/>
  <c r="I55" i="4"/>
  <c r="I54" i="4"/>
  <c r="I53" i="4"/>
  <c r="I52" i="4"/>
  <c r="T50" i="4"/>
  <c r="T49" i="4"/>
  <c r="T48" i="4"/>
  <c r="H51" i="4"/>
  <c r="H52" i="4"/>
  <c r="H53" i="4"/>
  <c r="H54" i="4"/>
  <c r="H55" i="4"/>
  <c r="H50" i="4"/>
  <c r="H49" i="4"/>
  <c r="H48" i="4"/>
  <c r="K39" i="4"/>
  <c r="K40" i="4"/>
  <c r="K41" i="4"/>
  <c r="K38" i="4"/>
  <c r="V37" i="4"/>
  <c r="V36" i="4"/>
  <c r="V35" i="4"/>
  <c r="K34" i="4"/>
  <c r="J36" i="4"/>
  <c r="J37" i="4"/>
  <c r="J38" i="4"/>
  <c r="J39" i="4"/>
  <c r="J40" i="4"/>
  <c r="J41" i="4"/>
  <c r="J35" i="4"/>
  <c r="J34" i="4"/>
  <c r="I39" i="4"/>
  <c r="I40" i="4"/>
  <c r="I41" i="4"/>
  <c r="I38" i="4"/>
  <c r="T37" i="4"/>
  <c r="T36" i="4"/>
  <c r="T35" i="4"/>
  <c r="I34" i="4"/>
  <c r="H35" i="4"/>
  <c r="H36" i="4"/>
  <c r="H37" i="4"/>
  <c r="H38" i="4"/>
  <c r="H39" i="4"/>
  <c r="H40" i="4"/>
  <c r="H41" i="4"/>
  <c r="H34" i="4"/>
  <c r="S39" i="4" l="1"/>
  <c r="X39" i="4"/>
  <c r="U36" i="4"/>
  <c r="Z36" i="4"/>
  <c r="V39" i="4"/>
  <c r="AA39" i="4"/>
  <c r="V48" i="4"/>
  <c r="AA48" i="4"/>
  <c r="S38" i="4"/>
  <c r="X38" i="4"/>
  <c r="T34" i="4"/>
  <c r="Y34" i="4"/>
  <c r="T38" i="4"/>
  <c r="Y38" i="4"/>
  <c r="U34" i="4"/>
  <c r="Z34" i="4"/>
  <c r="U39" i="4"/>
  <c r="Z39" i="4"/>
  <c r="V34" i="4"/>
  <c r="AA34" i="4"/>
  <c r="V38" i="4"/>
  <c r="AA38" i="4"/>
  <c r="T39" i="4"/>
  <c r="Y39" i="4"/>
  <c r="S41" i="4"/>
  <c r="X41" i="4"/>
  <c r="S37" i="4"/>
  <c r="X37" i="4"/>
  <c r="T41" i="4"/>
  <c r="Y41" i="4"/>
  <c r="U35" i="4"/>
  <c r="Z35" i="4"/>
  <c r="U38" i="4"/>
  <c r="Z38" i="4"/>
  <c r="V41" i="4"/>
  <c r="AA41" i="4"/>
  <c r="V50" i="4"/>
  <c r="AA50" i="4"/>
  <c r="S35" i="4"/>
  <c r="X35" i="4"/>
  <c r="U40" i="4"/>
  <c r="Z40" i="4"/>
  <c r="S34" i="4"/>
  <c r="X34" i="4"/>
  <c r="S40" i="4"/>
  <c r="X40" i="4"/>
  <c r="S36" i="4"/>
  <c r="X36" i="4"/>
  <c r="T40" i="4"/>
  <c r="Y40" i="4"/>
  <c r="U41" i="4"/>
  <c r="Z41" i="4"/>
  <c r="U37" i="4"/>
  <c r="Z37" i="4"/>
  <c r="V40" i="4"/>
  <c r="AA40" i="4"/>
  <c r="V51" i="4"/>
  <c r="AA51" i="4"/>
  <c r="S49" i="4"/>
  <c r="X49" i="4"/>
  <c r="S53" i="4"/>
  <c r="X53" i="4"/>
  <c r="T54" i="4"/>
  <c r="Y54" i="4"/>
  <c r="U50" i="4"/>
  <c r="Z50" i="4"/>
  <c r="U54" i="4"/>
  <c r="Z54" i="4"/>
  <c r="V54" i="4"/>
  <c r="AA54" i="4"/>
  <c r="S50" i="4"/>
  <c r="X50" i="4"/>
  <c r="S52" i="4"/>
  <c r="X52" i="4"/>
  <c r="T55" i="4"/>
  <c r="Y55" i="4"/>
  <c r="U51" i="4"/>
  <c r="Z51" i="4"/>
  <c r="U55" i="4"/>
  <c r="Z55" i="4"/>
  <c r="V55" i="4"/>
  <c r="AA55" i="4"/>
  <c r="S55" i="4"/>
  <c r="X55" i="4"/>
  <c r="T52" i="4"/>
  <c r="Y52" i="4"/>
  <c r="U48" i="4"/>
  <c r="Z48" i="4"/>
  <c r="U52" i="4"/>
  <c r="Z52" i="4"/>
  <c r="V52" i="4"/>
  <c r="AA52" i="4"/>
  <c r="S48" i="4"/>
  <c r="X48" i="4"/>
  <c r="S54" i="4"/>
  <c r="X54" i="4"/>
  <c r="T53" i="4"/>
  <c r="Y53" i="4"/>
  <c r="U49" i="4"/>
  <c r="Z49" i="4"/>
  <c r="U53" i="4"/>
  <c r="Z53" i="4"/>
  <c r="V53" i="4"/>
  <c r="AA53" i="4"/>
  <c r="S51" i="4"/>
  <c r="X51" i="4"/>
  <c r="K26" i="4"/>
  <c r="K24" i="4"/>
  <c r="J26" i="4"/>
  <c r="J24" i="4"/>
  <c r="I26" i="4"/>
  <c r="I24" i="4"/>
  <c r="H26" i="4"/>
  <c r="H24" i="4"/>
  <c r="Q7" i="4"/>
  <c r="Q8" i="4" s="1"/>
  <c r="N21" i="4"/>
  <c r="N35" i="4" s="1"/>
  <c r="N49" i="4" s="1"/>
  <c r="N63" i="4" s="1"/>
  <c r="O21" i="4"/>
  <c r="O35" i="4" s="1"/>
  <c r="O49" i="4" s="1"/>
  <c r="O63" i="4" s="1"/>
  <c r="P21" i="4"/>
  <c r="P35" i="4" s="1"/>
  <c r="P49" i="4" s="1"/>
  <c r="P63" i="4" s="1"/>
  <c r="N22" i="4"/>
  <c r="N36" i="4" s="1"/>
  <c r="N50" i="4" s="1"/>
  <c r="N64" i="4" s="1"/>
  <c r="O22" i="4"/>
  <c r="O36" i="4" s="1"/>
  <c r="O50" i="4" s="1"/>
  <c r="O64" i="4" s="1"/>
  <c r="P22" i="4"/>
  <c r="P36" i="4" s="1"/>
  <c r="P50" i="4" s="1"/>
  <c r="P64" i="4" s="1"/>
  <c r="N23" i="4"/>
  <c r="N37" i="4" s="1"/>
  <c r="N51" i="4" s="1"/>
  <c r="N65" i="4" s="1"/>
  <c r="O23" i="4"/>
  <c r="O37" i="4" s="1"/>
  <c r="O51" i="4" s="1"/>
  <c r="O65" i="4" s="1"/>
  <c r="P23" i="4"/>
  <c r="P37" i="4" s="1"/>
  <c r="P51" i="4" s="1"/>
  <c r="P65" i="4" s="1"/>
  <c r="N24" i="4"/>
  <c r="N38" i="4" s="1"/>
  <c r="N52" i="4" s="1"/>
  <c r="N66" i="4" s="1"/>
  <c r="O24" i="4"/>
  <c r="O38" i="4" s="1"/>
  <c r="O52" i="4" s="1"/>
  <c r="O66" i="4" s="1"/>
  <c r="P24" i="4"/>
  <c r="P38" i="4" s="1"/>
  <c r="P52" i="4" s="1"/>
  <c r="P66" i="4" s="1"/>
  <c r="N25" i="4"/>
  <c r="N39" i="4" s="1"/>
  <c r="N53" i="4" s="1"/>
  <c r="N67" i="4" s="1"/>
  <c r="O25" i="4"/>
  <c r="O39" i="4" s="1"/>
  <c r="O53" i="4" s="1"/>
  <c r="O67" i="4" s="1"/>
  <c r="P25" i="4"/>
  <c r="P39" i="4" s="1"/>
  <c r="P53" i="4" s="1"/>
  <c r="P67" i="4" s="1"/>
  <c r="N26" i="4"/>
  <c r="N40" i="4" s="1"/>
  <c r="N54" i="4" s="1"/>
  <c r="N68" i="4" s="1"/>
  <c r="O26" i="4"/>
  <c r="O40" i="4" s="1"/>
  <c r="O54" i="4" s="1"/>
  <c r="O68" i="4" s="1"/>
  <c r="P26" i="4"/>
  <c r="P40" i="4" s="1"/>
  <c r="P54" i="4" s="1"/>
  <c r="P68" i="4" s="1"/>
  <c r="N27" i="4"/>
  <c r="N41" i="4" s="1"/>
  <c r="N55" i="4" s="1"/>
  <c r="N69" i="4" s="1"/>
  <c r="O27" i="4"/>
  <c r="O41" i="4" s="1"/>
  <c r="O55" i="4" s="1"/>
  <c r="O69" i="4" s="1"/>
  <c r="P27" i="4"/>
  <c r="P41" i="4" s="1"/>
  <c r="P55" i="4" s="1"/>
  <c r="P69" i="4" s="1"/>
  <c r="O20" i="4"/>
  <c r="O34" i="4" s="1"/>
  <c r="O48" i="4" s="1"/>
  <c r="O62" i="4" s="1"/>
  <c r="P20" i="4"/>
  <c r="P34" i="4" s="1"/>
  <c r="P48" i="4" s="1"/>
  <c r="P62" i="4" s="1"/>
  <c r="Q20" i="4"/>
  <c r="Q34" i="4" s="1"/>
  <c r="Q48" i="4" s="1"/>
  <c r="Q62" i="4" s="1"/>
  <c r="N20" i="4"/>
  <c r="N34" i="4" s="1"/>
  <c r="N48" i="4" s="1"/>
  <c r="N62" i="4" s="1"/>
  <c r="K25" i="4"/>
  <c r="K27" i="4"/>
  <c r="V23" i="4"/>
  <c r="V22" i="4"/>
  <c r="V21" i="4"/>
  <c r="K20" i="4"/>
  <c r="J21" i="4"/>
  <c r="J22" i="4"/>
  <c r="J23" i="4"/>
  <c r="J25" i="4"/>
  <c r="J27" i="4"/>
  <c r="J20" i="4"/>
  <c r="I25" i="4"/>
  <c r="I27" i="4"/>
  <c r="T21" i="4"/>
  <c r="H21" i="4"/>
  <c r="H22" i="4"/>
  <c r="H23" i="4"/>
  <c r="H25" i="4"/>
  <c r="H27" i="4"/>
  <c r="H20" i="4"/>
  <c r="K11" i="4"/>
  <c r="K12" i="4"/>
  <c r="K13" i="4"/>
  <c r="K10" i="4"/>
  <c r="V9" i="4"/>
  <c r="V8" i="4"/>
  <c r="V7" i="4"/>
  <c r="K6" i="4"/>
  <c r="J7" i="4"/>
  <c r="J8" i="4"/>
  <c r="J9" i="4"/>
  <c r="J10" i="4"/>
  <c r="J11" i="4"/>
  <c r="J12" i="4"/>
  <c r="J13" i="4"/>
  <c r="J6" i="4"/>
  <c r="I11" i="4"/>
  <c r="I12" i="4"/>
  <c r="I13" i="4"/>
  <c r="I10" i="4"/>
  <c r="T9" i="4"/>
  <c r="T8" i="4"/>
  <c r="T7" i="4"/>
  <c r="T6" i="4"/>
  <c r="H7" i="4"/>
  <c r="H8" i="4"/>
  <c r="H9" i="4"/>
  <c r="H10" i="4"/>
  <c r="H11" i="4"/>
  <c r="H12" i="4"/>
  <c r="H13" i="4"/>
  <c r="S9" i="4" l="1"/>
  <c r="X9" i="4"/>
  <c r="U13" i="4"/>
  <c r="Z13" i="4"/>
  <c r="S12" i="4"/>
  <c r="X12" i="4"/>
  <c r="S8" i="4"/>
  <c r="X8" i="4"/>
  <c r="T12" i="4"/>
  <c r="Y12" i="4"/>
  <c r="U12" i="4"/>
  <c r="Z12" i="4"/>
  <c r="U8" i="4"/>
  <c r="Z8" i="4"/>
  <c r="V12" i="4"/>
  <c r="AA12" i="4"/>
  <c r="S13" i="4"/>
  <c r="X13" i="4"/>
  <c r="U9" i="4"/>
  <c r="Z9" i="4"/>
  <c r="V13" i="4"/>
  <c r="AA13" i="4"/>
  <c r="S11" i="4"/>
  <c r="X11" i="4"/>
  <c r="S7" i="4"/>
  <c r="X7" i="4"/>
  <c r="T11" i="4"/>
  <c r="Y11" i="4"/>
  <c r="U11" i="4"/>
  <c r="Z11" i="4"/>
  <c r="V11" i="4"/>
  <c r="AA11" i="4"/>
  <c r="V20" i="4"/>
  <c r="AA20" i="4"/>
  <c r="T13" i="4"/>
  <c r="Y13" i="4"/>
  <c r="S10" i="4"/>
  <c r="X10" i="4"/>
  <c r="T10" i="4"/>
  <c r="Y10" i="4"/>
  <c r="U6" i="4"/>
  <c r="Z6" i="4"/>
  <c r="U10" i="4"/>
  <c r="Z10" i="4"/>
  <c r="V6" i="4"/>
  <c r="AA6" i="4"/>
  <c r="V10" i="4"/>
  <c r="AA10" i="4"/>
  <c r="S21" i="4"/>
  <c r="X21" i="4"/>
  <c r="U22" i="4"/>
  <c r="Z22" i="4"/>
  <c r="T24" i="4"/>
  <c r="Y24" i="4"/>
  <c r="V24" i="4"/>
  <c r="AA24" i="4"/>
  <c r="S25" i="4"/>
  <c r="X25" i="4"/>
  <c r="U27" i="4"/>
  <c r="Z27" i="4"/>
  <c r="T26" i="4"/>
  <c r="Y26" i="4"/>
  <c r="V26" i="4"/>
  <c r="AA26" i="4"/>
  <c r="S27" i="4"/>
  <c r="X27" i="4"/>
  <c r="U20" i="4"/>
  <c r="Z20" i="4"/>
  <c r="S23" i="4"/>
  <c r="X23" i="4"/>
  <c r="T27" i="4"/>
  <c r="Y27" i="4"/>
  <c r="U25" i="4"/>
  <c r="Z25" i="4"/>
  <c r="V27" i="4"/>
  <c r="AA27" i="4"/>
  <c r="S24" i="4"/>
  <c r="X24" i="4"/>
  <c r="U24" i="4"/>
  <c r="Z24" i="4"/>
  <c r="S22" i="4"/>
  <c r="X22" i="4"/>
  <c r="T25" i="4"/>
  <c r="Y25" i="4"/>
  <c r="U23" i="4"/>
  <c r="Z23" i="4"/>
  <c r="V25" i="4"/>
  <c r="AA25" i="4"/>
  <c r="S26" i="4"/>
  <c r="X26" i="4"/>
  <c r="U26" i="4"/>
  <c r="Z26" i="4"/>
  <c r="U21" i="4"/>
  <c r="Z21" i="4"/>
  <c r="S20" i="4"/>
  <c r="X20" i="4"/>
  <c r="U7" i="4"/>
  <c r="Z7" i="4"/>
  <c r="Q9" i="4"/>
  <c r="Q10" i="4" s="1"/>
  <c r="Q22" i="4"/>
  <c r="Q36" i="4" s="1"/>
  <c r="Q50" i="4" s="1"/>
  <c r="Q64" i="4" s="1"/>
  <c r="Q21" i="4"/>
  <c r="Q35" i="4" s="1"/>
  <c r="Q49" i="4" s="1"/>
  <c r="Q63" i="4" s="1"/>
  <c r="H33" i="3"/>
  <c r="H34" i="3"/>
  <c r="H35" i="3"/>
  <c r="H36" i="3"/>
  <c r="J36" i="3"/>
  <c r="Q23" i="4" l="1"/>
  <c r="Q37" i="4" s="1"/>
  <c r="Q51" i="4" s="1"/>
  <c r="Q65" i="4" s="1"/>
  <c r="Q11" i="4"/>
  <c r="Q24" i="4"/>
  <c r="Q38" i="4" s="1"/>
  <c r="Q52" i="4" s="1"/>
  <c r="Q66" i="4" s="1"/>
  <c r="J64" i="3"/>
  <c r="J61" i="3"/>
  <c r="J63" i="3"/>
  <c r="J62" i="3"/>
  <c r="H64" i="3"/>
  <c r="H63" i="3"/>
  <c r="H62" i="3"/>
  <c r="H61" i="3"/>
  <c r="Q12" i="4" l="1"/>
  <c r="Q25" i="4"/>
  <c r="Q39" i="4" s="1"/>
  <c r="Q53" i="4" s="1"/>
  <c r="Q67" i="4" s="1"/>
  <c r="J65" i="3"/>
  <c r="J66" i="3"/>
  <c r="J67" i="3"/>
  <c r="J68" i="3"/>
  <c r="I62" i="3"/>
  <c r="I63" i="3"/>
  <c r="I64" i="3"/>
  <c r="I65" i="3"/>
  <c r="I66" i="3"/>
  <c r="I67" i="3"/>
  <c r="I68" i="3"/>
  <c r="I61" i="3"/>
  <c r="H65" i="3"/>
  <c r="H66" i="3"/>
  <c r="H67" i="3"/>
  <c r="H68" i="3"/>
  <c r="G62" i="3"/>
  <c r="G63" i="3"/>
  <c r="G64" i="3"/>
  <c r="G65" i="3"/>
  <c r="G66" i="3"/>
  <c r="G67" i="3"/>
  <c r="G68" i="3"/>
  <c r="G61" i="3"/>
  <c r="J52" i="3"/>
  <c r="J53" i="3"/>
  <c r="J54" i="3"/>
  <c r="J51" i="3"/>
  <c r="J50" i="3"/>
  <c r="J49" i="3"/>
  <c r="J48" i="3"/>
  <c r="J47" i="3"/>
  <c r="I48" i="3"/>
  <c r="I49" i="3"/>
  <c r="I50" i="3"/>
  <c r="I51" i="3"/>
  <c r="I52" i="3"/>
  <c r="I53" i="3"/>
  <c r="I54" i="3"/>
  <c r="I47" i="3"/>
  <c r="H52" i="3"/>
  <c r="H53" i="3"/>
  <c r="H54" i="3"/>
  <c r="H51" i="3"/>
  <c r="H50" i="3"/>
  <c r="H49" i="3"/>
  <c r="H48" i="3"/>
  <c r="H47" i="3"/>
  <c r="G48" i="3"/>
  <c r="G49" i="3"/>
  <c r="G50" i="3"/>
  <c r="G51" i="3"/>
  <c r="G52" i="3"/>
  <c r="G53" i="3"/>
  <c r="G54" i="3"/>
  <c r="G47" i="3"/>
  <c r="J40" i="3"/>
  <c r="I40" i="3"/>
  <c r="H40" i="3"/>
  <c r="G40" i="3"/>
  <c r="J39" i="3"/>
  <c r="I39" i="3"/>
  <c r="H39" i="3"/>
  <c r="G39" i="3"/>
  <c r="J38" i="3"/>
  <c r="I38" i="3"/>
  <c r="H38" i="3"/>
  <c r="G38" i="3"/>
  <c r="J37" i="3"/>
  <c r="I37" i="3"/>
  <c r="H37" i="3"/>
  <c r="G37" i="3"/>
  <c r="I36" i="3"/>
  <c r="G36" i="3"/>
  <c r="J35" i="3"/>
  <c r="I35" i="3"/>
  <c r="G35" i="3"/>
  <c r="J34" i="3"/>
  <c r="I34" i="3"/>
  <c r="G34" i="3"/>
  <c r="J33" i="3"/>
  <c r="I33" i="3"/>
  <c r="G33" i="3"/>
  <c r="J10" i="3"/>
  <c r="J11" i="3"/>
  <c r="J12" i="3"/>
  <c r="J9" i="3"/>
  <c r="J8" i="3"/>
  <c r="J7" i="3"/>
  <c r="J6" i="3"/>
  <c r="J5" i="3"/>
  <c r="I6" i="3"/>
  <c r="I7" i="3"/>
  <c r="I8" i="3"/>
  <c r="I9" i="3"/>
  <c r="I10" i="3"/>
  <c r="I11" i="3"/>
  <c r="I12" i="3"/>
  <c r="I5" i="3"/>
  <c r="H10" i="3"/>
  <c r="H11" i="3"/>
  <c r="H12" i="3"/>
  <c r="H9" i="3"/>
  <c r="H8" i="3"/>
  <c r="H7" i="3"/>
  <c r="H6" i="3"/>
  <c r="H5" i="3"/>
  <c r="G5" i="3"/>
  <c r="O68" i="3"/>
  <c r="N68" i="3"/>
  <c r="M68" i="3"/>
  <c r="O67" i="3"/>
  <c r="N67" i="3"/>
  <c r="M67" i="3"/>
  <c r="O66" i="3"/>
  <c r="N66" i="3"/>
  <c r="M66" i="3"/>
  <c r="O65" i="3"/>
  <c r="N65" i="3"/>
  <c r="M65" i="3"/>
  <c r="O64" i="3"/>
  <c r="N64" i="3"/>
  <c r="M64" i="3"/>
  <c r="O63" i="3"/>
  <c r="N63" i="3"/>
  <c r="M63" i="3"/>
  <c r="O62" i="3"/>
  <c r="N62" i="3"/>
  <c r="M62" i="3"/>
  <c r="O61" i="3"/>
  <c r="N61" i="3"/>
  <c r="M61" i="3"/>
  <c r="G10" i="3"/>
  <c r="G11" i="3"/>
  <c r="G12" i="3"/>
  <c r="G9" i="3"/>
  <c r="G8" i="3"/>
  <c r="G7" i="3"/>
  <c r="G6" i="3"/>
  <c r="Q13" i="4" l="1"/>
  <c r="Q27" i="4" s="1"/>
  <c r="Q41" i="4" s="1"/>
  <c r="Q55" i="4" s="1"/>
  <c r="Q69" i="4" s="1"/>
  <c r="Q26" i="4"/>
  <c r="Q40" i="4" s="1"/>
  <c r="Q54" i="4" s="1"/>
  <c r="Q68" i="4" s="1"/>
</calcChain>
</file>

<file path=xl/sharedStrings.xml><?xml version="1.0" encoding="utf-8"?>
<sst xmlns="http://schemas.openxmlformats.org/spreadsheetml/2006/main" count="546" uniqueCount="76">
  <si>
    <t>Кровля</t>
  </si>
  <si>
    <t>Стенка</t>
  </si>
  <si>
    <t>Толщина панели, мм</t>
  </si>
  <si>
    <t>Высота</t>
  </si>
  <si>
    <t>Длина</t>
  </si>
  <si>
    <t>Ширина</t>
  </si>
  <si>
    <t>стенка 1000</t>
  </si>
  <si>
    <t>стенка 1180</t>
  </si>
  <si>
    <t>кровля</t>
  </si>
  <si>
    <t>Примечание:</t>
  </si>
  <si>
    <t>УП-1 (город)</t>
  </si>
  <si>
    <t>L панели</t>
  </si>
  <si>
    <t>7*</t>
  </si>
  <si>
    <t>6*</t>
  </si>
  <si>
    <t>5*</t>
  </si>
  <si>
    <t>10*</t>
  </si>
  <si>
    <t>8*</t>
  </si>
  <si>
    <t>подложка ППС под ранелями толщиной 20мм, бруски ППС 100мм снизу, укрытие торцов пленкой-рукав</t>
  </si>
  <si>
    <t>Кол-во панелей в пачке</t>
  </si>
  <si>
    <t>УП-2 ЛАЙТ (межгород)</t>
  </si>
  <si>
    <t>Пенополистирольная подложка 30мм снизу, 20мм сверху. Пакет стянут полипропиленовой лентой, под пакетом бруски ППС 100х400мм. Торцы пакета панелей защищены уголками ППС 300х300мм</t>
  </si>
  <si>
    <t>L панели+60</t>
  </si>
  <si>
    <t>Деревянный поддон снизу 100мм и поперечные деревянные прокладки 25мм сверху, стянуты стальной лентой</t>
  </si>
  <si>
    <t>** Кол-во панелей зависит от типа панелей, способа их укладки в пачки и вида загрузки (ограничение по ширине и высоте проема контейнера)</t>
  </si>
  <si>
    <t>УП-2 (межгород)</t>
  </si>
  <si>
    <t>УП-КОНТ (контейнер)</t>
  </si>
  <si>
    <t>Деревянный поддон снизу 100мм, деревянная обрешетка со всех сторон доской 25*100, в том числе сверху, межгород</t>
  </si>
  <si>
    <t>Деревянный поддон снизу 100мм (130мм), деревянная обрешетка со всех сторон доской 40х120 для межгорода, либо 50х150, в том числе сверху, море</t>
  </si>
  <si>
    <t>УП-3 (регион, море)</t>
  </si>
  <si>
    <t>L панели+100</t>
  </si>
  <si>
    <t>L панели+200</t>
  </si>
  <si>
    <t>Кровля &lt;7,0м</t>
  </si>
  <si>
    <t>Кровля &gt;7,0м</t>
  </si>
  <si>
    <t>Стена &lt;7,0м</t>
  </si>
  <si>
    <t>Стена &gt;7,0м</t>
  </si>
  <si>
    <t>1) При выпуске панелей с покрытием Sunmatt и Grembo, необходимо уточнение в производстве о возможности производства панелей, данное покрытие возможно применять только на одной стороне панелей, в противном случае выпуск невозможен)</t>
  </si>
  <si>
    <t>Кровля &lt;7,0м ,</t>
  </si>
  <si>
    <t>* ограничение в кол-ве панелей в пачках касается только панелей с наполнителем "базальт"</t>
  </si>
  <si>
    <t>2) Любые отклонения от норм, указанных в данной таблице должны быть в обязательном порядке согласованы всеми сторонами до начала производства</t>
  </si>
  <si>
    <t>-</t>
  </si>
  <si>
    <t>ширина пачки с учетом упаковки</t>
  </si>
  <si>
    <t>высота пачек с учетом упаковки</t>
  </si>
  <si>
    <t xml:space="preserve">Кровля &lt;7,0м </t>
  </si>
  <si>
    <t xml:space="preserve"> L панелей - длина панелей</t>
  </si>
  <si>
    <t>10 / 10</t>
  </si>
  <si>
    <t>9 / 8</t>
  </si>
  <si>
    <t>8 / 7</t>
  </si>
  <si>
    <t>7 / 6</t>
  </si>
  <si>
    <t>6 / 5</t>
  </si>
  <si>
    <t>5 / 4</t>
  </si>
  <si>
    <t>4 / 4</t>
  </si>
  <si>
    <t>4 / 3</t>
  </si>
  <si>
    <t>18 / 17</t>
  </si>
  <si>
    <t>13 / 13</t>
  </si>
  <si>
    <t>11 / 10</t>
  </si>
  <si>
    <t>7 / 7</t>
  </si>
  <si>
    <t>5 / 5</t>
  </si>
  <si>
    <t>10</t>
  </si>
  <si>
    <t>8</t>
  </si>
  <si>
    <t>7</t>
  </si>
  <si>
    <t>6</t>
  </si>
  <si>
    <t>5</t>
  </si>
  <si>
    <t>4*</t>
  </si>
  <si>
    <t>подложка ППС под панелями толщиной 20мм, бруски ППС 100мм снизу, укрытие торцов пленкой-рукав, упаковка в стрейч-пленку</t>
  </si>
  <si>
    <t>Фактическая толщина панелей, мм</t>
  </si>
  <si>
    <t>стенка S-fix</t>
  </si>
  <si>
    <t>L панели+160</t>
  </si>
  <si>
    <t>Пенополистирольная подложка 20мм снизу, 20мм сверху. Пакет стянут полипропиленовой лентой, под пакетом бруски ППС 100х400мм. Торцы пакета панелей защищены уголками ППС 300х300мм</t>
  </si>
  <si>
    <t>50 (ППС)</t>
  </si>
  <si>
    <t>высота пачек без учета упаковки</t>
  </si>
  <si>
    <t>высота погрузки</t>
  </si>
  <si>
    <t>9*</t>
  </si>
  <si>
    <t>УП-4 (регион, море)</t>
  </si>
  <si>
    <t>Деревянный поддон снизу, деревянная обрешетка со всех сторон доской 25*100, в том числе сверху, межгород</t>
  </si>
  <si>
    <t xml:space="preserve">Деревянный сплошной по длине поддон снизу, деревянная обрешетка со всех сторон доской 50х120 </t>
  </si>
  <si>
    <t>Деревянный поддон снизу, деревянная обрешетка со всех сторон доской 40х120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</si>
</sst>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0" fillId="0" borderId="26" xfId="0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77"/>
  <sheetViews>
    <sheetView topLeftCell="A37" zoomScale="70" zoomScaleNormal="70" workbookViewId="0">
      <selection activeCell="B58" sqref="B58:O69"/>
    </sheetView>
  </sheetViews>
  <sheetFormatPr defaultRowHeight="15" x14ac:dyDescent="0.25"/>
  <cols>
    <col min="2" max="2" width="12.42578125" customWidth="1"/>
    <col min="3" max="6" width="15.140625" customWidth="1"/>
    <col min="7" max="10" width="15.85546875" customWidth="1"/>
    <col min="11" max="12" width="14.5703125" customWidth="1"/>
    <col min="13" max="15" width="13.85546875" customWidth="1"/>
  </cols>
  <sheetData>
    <row r="1" spans="2:15" ht="15.75" thickBot="1" x14ac:dyDescent="0.3"/>
    <row r="2" spans="2:15" ht="15.75" x14ac:dyDescent="0.25">
      <c r="B2" s="63" t="s">
        <v>2</v>
      </c>
      <c r="C2" s="60" t="s">
        <v>18</v>
      </c>
      <c r="D2" s="61"/>
      <c r="E2" s="61"/>
      <c r="F2" s="62"/>
      <c r="G2" s="52" t="s">
        <v>3</v>
      </c>
      <c r="H2" s="53"/>
      <c r="I2" s="53"/>
      <c r="J2" s="66"/>
      <c r="K2" s="51" t="s">
        <v>4</v>
      </c>
      <c r="L2" s="51"/>
      <c r="M2" s="52" t="s">
        <v>5</v>
      </c>
      <c r="N2" s="53"/>
      <c r="O2" s="54"/>
    </row>
    <row r="3" spans="2:15" ht="15.75" customHeight="1" x14ac:dyDescent="0.25">
      <c r="B3" s="64"/>
      <c r="C3" s="57" t="s">
        <v>10</v>
      </c>
      <c r="D3" s="58"/>
      <c r="E3" s="58"/>
      <c r="F3" s="59"/>
      <c r="G3" s="67" t="s">
        <v>41</v>
      </c>
      <c r="H3" s="68"/>
      <c r="I3" s="68"/>
      <c r="J3" s="69"/>
      <c r="K3" s="55" t="s">
        <v>43</v>
      </c>
      <c r="L3" s="55"/>
      <c r="M3" s="55" t="s">
        <v>40</v>
      </c>
      <c r="N3" s="55"/>
      <c r="O3" s="56"/>
    </row>
    <row r="4" spans="2:15" ht="15.75" x14ac:dyDescent="0.25">
      <c r="B4" s="65"/>
      <c r="C4" s="17" t="s">
        <v>36</v>
      </c>
      <c r="D4" s="17" t="s">
        <v>32</v>
      </c>
      <c r="E4" s="16" t="s">
        <v>33</v>
      </c>
      <c r="F4" s="16" t="s">
        <v>34</v>
      </c>
      <c r="G4" s="17" t="s">
        <v>42</v>
      </c>
      <c r="H4" s="17" t="s">
        <v>32</v>
      </c>
      <c r="I4" s="16" t="s">
        <v>33</v>
      </c>
      <c r="J4" s="16" t="s">
        <v>34</v>
      </c>
      <c r="K4" s="15" t="s">
        <v>0</v>
      </c>
      <c r="L4" s="15" t="s">
        <v>1</v>
      </c>
      <c r="M4" s="4" t="s">
        <v>6</v>
      </c>
      <c r="N4" s="4" t="s">
        <v>7</v>
      </c>
      <c r="O4" s="6" t="s">
        <v>8</v>
      </c>
    </row>
    <row r="5" spans="2:15" x14ac:dyDescent="0.25">
      <c r="B5" s="7">
        <v>60</v>
      </c>
      <c r="C5" s="2">
        <v>14</v>
      </c>
      <c r="D5" s="2" t="s">
        <v>12</v>
      </c>
      <c r="E5" s="2">
        <v>20</v>
      </c>
      <c r="F5" s="2" t="s">
        <v>15</v>
      </c>
      <c r="G5" s="3">
        <f>C5*$B5+ROUNDUP(C5/2,0)*40+150</f>
        <v>1270</v>
      </c>
      <c r="H5" s="3">
        <f>7*$B5+ROUNDUP(7/2,0)*40+150</f>
        <v>730</v>
      </c>
      <c r="I5" s="3">
        <f>$B5*E5+150</f>
        <v>1350</v>
      </c>
      <c r="J5" s="3">
        <f>$B5*10+150</f>
        <v>750</v>
      </c>
      <c r="K5" s="3" t="s">
        <v>11</v>
      </c>
      <c r="L5" s="3" t="s">
        <v>11</v>
      </c>
      <c r="M5" s="5">
        <v>1040</v>
      </c>
      <c r="N5" s="5">
        <v>1230</v>
      </c>
      <c r="O5" s="8">
        <v>1150</v>
      </c>
    </row>
    <row r="6" spans="2:15" x14ac:dyDescent="0.25">
      <c r="B6" s="7">
        <v>80</v>
      </c>
      <c r="C6" s="2">
        <v>12</v>
      </c>
      <c r="D6" s="2" t="s">
        <v>13</v>
      </c>
      <c r="E6" s="2">
        <v>15</v>
      </c>
      <c r="F6" s="2" t="s">
        <v>16</v>
      </c>
      <c r="G6" s="3">
        <f t="shared" ref="G6:G12" si="0">C6*B6+ROUNDUP(C6/2,0)*40+150</f>
        <v>1350</v>
      </c>
      <c r="H6" s="3">
        <f>6*$B6+ROUNDUP(6/2,0)*40+150</f>
        <v>750</v>
      </c>
      <c r="I6" s="3">
        <f t="shared" ref="I6:I12" si="1">$B6*E6+150</f>
        <v>1350</v>
      </c>
      <c r="J6" s="3">
        <f>$B6*8+150</f>
        <v>790</v>
      </c>
      <c r="K6" s="3" t="s">
        <v>11</v>
      </c>
      <c r="L6" s="3" t="s">
        <v>11</v>
      </c>
      <c r="M6" s="5">
        <v>1040</v>
      </c>
      <c r="N6" s="5">
        <v>1230</v>
      </c>
      <c r="O6" s="8">
        <v>1150</v>
      </c>
    </row>
    <row r="7" spans="2:15" x14ac:dyDescent="0.25">
      <c r="B7" s="7">
        <v>100</v>
      </c>
      <c r="C7" s="2">
        <v>10</v>
      </c>
      <c r="D7" s="2" t="s">
        <v>14</v>
      </c>
      <c r="E7" s="2">
        <v>12</v>
      </c>
      <c r="F7" s="2" t="s">
        <v>13</v>
      </c>
      <c r="G7" s="3">
        <f t="shared" si="0"/>
        <v>1350</v>
      </c>
      <c r="H7" s="3">
        <f>5*$B7+ROUNDUP(5/2,0)*40+150</f>
        <v>770</v>
      </c>
      <c r="I7" s="3">
        <f t="shared" si="1"/>
        <v>1350</v>
      </c>
      <c r="J7" s="3">
        <f>$B7*6+150</f>
        <v>750</v>
      </c>
      <c r="K7" s="3" t="s">
        <v>11</v>
      </c>
      <c r="L7" s="3" t="s">
        <v>11</v>
      </c>
      <c r="M7" s="5">
        <v>1040</v>
      </c>
      <c r="N7" s="5">
        <v>1230</v>
      </c>
      <c r="O7" s="8">
        <v>1150</v>
      </c>
    </row>
    <row r="8" spans="2:15" x14ac:dyDescent="0.25">
      <c r="B8" s="7">
        <v>120</v>
      </c>
      <c r="C8" s="2">
        <v>9</v>
      </c>
      <c r="D8" s="2" t="s">
        <v>14</v>
      </c>
      <c r="E8" s="2">
        <v>10</v>
      </c>
      <c r="F8" s="2" t="s">
        <v>14</v>
      </c>
      <c r="G8" s="3">
        <f t="shared" si="0"/>
        <v>1430</v>
      </c>
      <c r="H8" s="3">
        <f>5*$B8+ROUNDUP(5/2,0)*40+150</f>
        <v>870</v>
      </c>
      <c r="I8" s="3">
        <f t="shared" si="1"/>
        <v>1350</v>
      </c>
      <c r="J8" s="3">
        <f>$B8*5+150</f>
        <v>750</v>
      </c>
      <c r="K8" s="3" t="s">
        <v>11</v>
      </c>
      <c r="L8" s="3" t="s">
        <v>11</v>
      </c>
      <c r="M8" s="5">
        <v>1040</v>
      </c>
      <c r="N8" s="5">
        <v>1230</v>
      </c>
      <c r="O8" s="8">
        <v>1150</v>
      </c>
    </row>
    <row r="9" spans="2:15" x14ac:dyDescent="0.25">
      <c r="B9" s="7">
        <v>150</v>
      </c>
      <c r="C9" s="2">
        <v>7</v>
      </c>
      <c r="D9" s="2">
        <v>7</v>
      </c>
      <c r="E9" s="2">
        <v>8</v>
      </c>
      <c r="F9" s="2">
        <v>8</v>
      </c>
      <c r="G9" s="3">
        <f t="shared" si="0"/>
        <v>1360</v>
      </c>
      <c r="H9" s="3">
        <f>D9*B9+ROUNDUP(D9/2,0)*40+150</f>
        <v>1360</v>
      </c>
      <c r="I9" s="3">
        <f t="shared" si="1"/>
        <v>1350</v>
      </c>
      <c r="J9" s="3">
        <f>$B9*F9+150</f>
        <v>1350</v>
      </c>
      <c r="K9" s="3" t="s">
        <v>11</v>
      </c>
      <c r="L9" s="3" t="s">
        <v>11</v>
      </c>
      <c r="M9" s="5">
        <v>1040</v>
      </c>
      <c r="N9" s="5">
        <v>1230</v>
      </c>
      <c r="O9" s="8">
        <v>1150</v>
      </c>
    </row>
    <row r="10" spans="2:15" x14ac:dyDescent="0.25">
      <c r="B10" s="7">
        <v>180</v>
      </c>
      <c r="C10" s="2">
        <v>6</v>
      </c>
      <c r="D10" s="2">
        <v>6</v>
      </c>
      <c r="E10" s="2">
        <v>7</v>
      </c>
      <c r="F10" s="2">
        <v>7</v>
      </c>
      <c r="G10" s="3">
        <f t="shared" si="0"/>
        <v>1350</v>
      </c>
      <c r="H10" s="3">
        <f t="shared" ref="H10:H12" si="2">D10*B10+ROUNDUP(D10/2,0)*40+150</f>
        <v>1350</v>
      </c>
      <c r="I10" s="3">
        <f t="shared" si="1"/>
        <v>1410</v>
      </c>
      <c r="J10" s="3">
        <f t="shared" ref="J10:J12" si="3">$B10*F10+150</f>
        <v>1410</v>
      </c>
      <c r="K10" s="3" t="s">
        <v>11</v>
      </c>
      <c r="L10" s="3" t="s">
        <v>11</v>
      </c>
      <c r="M10" s="5">
        <v>1040</v>
      </c>
      <c r="N10" s="5">
        <v>1230</v>
      </c>
      <c r="O10" s="8">
        <v>1150</v>
      </c>
    </row>
    <row r="11" spans="2:15" x14ac:dyDescent="0.25">
      <c r="B11" s="7">
        <v>200</v>
      </c>
      <c r="C11" s="2">
        <v>5</v>
      </c>
      <c r="D11" s="2">
        <v>5</v>
      </c>
      <c r="E11" s="2">
        <v>6</v>
      </c>
      <c r="F11" s="2">
        <v>6</v>
      </c>
      <c r="G11" s="3">
        <f t="shared" si="0"/>
        <v>1270</v>
      </c>
      <c r="H11" s="3">
        <f t="shared" si="2"/>
        <v>1270</v>
      </c>
      <c r="I11" s="3">
        <f t="shared" si="1"/>
        <v>1350</v>
      </c>
      <c r="J11" s="3">
        <f t="shared" si="3"/>
        <v>1350</v>
      </c>
      <c r="K11" s="3" t="s">
        <v>11</v>
      </c>
      <c r="L11" s="3" t="s">
        <v>11</v>
      </c>
      <c r="M11" s="5">
        <v>1040</v>
      </c>
      <c r="N11" s="5">
        <v>1230</v>
      </c>
      <c r="O11" s="8">
        <v>1150</v>
      </c>
    </row>
    <row r="12" spans="2:15" ht="15.75" thickBot="1" x14ac:dyDescent="0.3">
      <c r="B12" s="9">
        <v>250</v>
      </c>
      <c r="C12" s="10">
        <v>4</v>
      </c>
      <c r="D12" s="10">
        <v>4</v>
      </c>
      <c r="E12" s="10">
        <v>5</v>
      </c>
      <c r="F12" s="10">
        <v>5</v>
      </c>
      <c r="G12" s="11">
        <f t="shared" si="0"/>
        <v>1230</v>
      </c>
      <c r="H12" s="11">
        <f t="shared" si="2"/>
        <v>1230</v>
      </c>
      <c r="I12" s="11">
        <f t="shared" si="1"/>
        <v>1400</v>
      </c>
      <c r="J12" s="11">
        <f t="shared" si="3"/>
        <v>1400</v>
      </c>
      <c r="K12" s="11" t="s">
        <v>11</v>
      </c>
      <c r="L12" s="11" t="s">
        <v>11</v>
      </c>
      <c r="M12" s="13">
        <v>1040</v>
      </c>
      <c r="N12" s="13">
        <v>1230</v>
      </c>
      <c r="O12" s="14">
        <v>1150</v>
      </c>
    </row>
    <row r="13" spans="2:15" x14ac:dyDescent="0.25">
      <c r="B13" s="12" t="s">
        <v>17</v>
      </c>
      <c r="C13" s="1"/>
      <c r="D13" s="1"/>
      <c r="E13" s="1"/>
      <c r="F13" s="1"/>
    </row>
    <row r="15" spans="2:15" ht="15.75" thickBot="1" x14ac:dyDescent="0.3"/>
    <row r="16" spans="2:15" ht="15.75" customHeight="1" x14ac:dyDescent="0.25">
      <c r="B16" s="72" t="s">
        <v>2</v>
      </c>
      <c r="C16" s="70" t="s">
        <v>18</v>
      </c>
      <c r="D16" s="70"/>
      <c r="E16" s="70"/>
      <c r="F16" s="70"/>
      <c r="G16" s="52" t="s">
        <v>3</v>
      </c>
      <c r="H16" s="53"/>
      <c r="I16" s="53"/>
      <c r="J16" s="66"/>
      <c r="K16" s="51" t="s">
        <v>4</v>
      </c>
      <c r="L16" s="51"/>
      <c r="M16" s="52" t="s">
        <v>5</v>
      </c>
      <c r="N16" s="53"/>
      <c r="O16" s="54"/>
    </row>
    <row r="17" spans="2:15" ht="15.75" customHeight="1" x14ac:dyDescent="0.25">
      <c r="B17" s="73"/>
      <c r="C17" s="71" t="s">
        <v>25</v>
      </c>
      <c r="D17" s="71"/>
      <c r="E17" s="71"/>
      <c r="F17" s="71"/>
      <c r="G17" s="67" t="s">
        <v>41</v>
      </c>
      <c r="H17" s="68"/>
      <c r="I17" s="68"/>
      <c r="J17" s="69"/>
      <c r="K17" s="55" t="s">
        <v>43</v>
      </c>
      <c r="L17" s="55"/>
      <c r="M17" s="55" t="s">
        <v>40</v>
      </c>
      <c r="N17" s="55"/>
      <c r="O17" s="56"/>
    </row>
    <row r="18" spans="2:15" ht="15.75" x14ac:dyDescent="0.25">
      <c r="B18" s="74"/>
      <c r="C18" s="17" t="s">
        <v>31</v>
      </c>
      <c r="D18" s="17" t="s">
        <v>32</v>
      </c>
      <c r="E18" s="16" t="s">
        <v>33</v>
      </c>
      <c r="F18" s="16" t="s">
        <v>34</v>
      </c>
      <c r="G18" s="17" t="s">
        <v>42</v>
      </c>
      <c r="H18" s="17" t="s">
        <v>32</v>
      </c>
      <c r="I18" s="16" t="s">
        <v>33</v>
      </c>
      <c r="J18" s="16" t="s">
        <v>34</v>
      </c>
      <c r="K18" s="15" t="s">
        <v>0</v>
      </c>
      <c r="L18" s="15" t="s">
        <v>1</v>
      </c>
      <c r="M18" s="4" t="s">
        <v>6</v>
      </c>
      <c r="N18" s="4" t="s">
        <v>7</v>
      </c>
      <c r="O18" s="6" t="s">
        <v>8</v>
      </c>
    </row>
    <row r="19" spans="2:15" ht="15" customHeight="1" x14ac:dyDescent="0.25">
      <c r="B19" s="7">
        <v>60</v>
      </c>
      <c r="C19" s="18" t="s">
        <v>44</v>
      </c>
      <c r="D19" s="18" t="s">
        <v>59</v>
      </c>
      <c r="E19" s="18" t="s">
        <v>52</v>
      </c>
      <c r="F19" s="18" t="s">
        <v>57</v>
      </c>
      <c r="G19" s="3" t="s">
        <v>39</v>
      </c>
      <c r="H19" s="3" t="s">
        <v>39</v>
      </c>
      <c r="I19" s="3" t="s">
        <v>39</v>
      </c>
      <c r="J19" s="3" t="s">
        <v>39</v>
      </c>
      <c r="K19" s="3" t="s">
        <v>11</v>
      </c>
      <c r="L19" s="3" t="s">
        <v>11</v>
      </c>
      <c r="M19" s="5">
        <v>1050</v>
      </c>
      <c r="N19" s="5">
        <v>1240</v>
      </c>
      <c r="O19" s="8">
        <v>1160</v>
      </c>
    </row>
    <row r="20" spans="2:15" x14ac:dyDescent="0.25">
      <c r="B20" s="7">
        <v>80</v>
      </c>
      <c r="C20" s="18" t="s">
        <v>45</v>
      </c>
      <c r="D20" s="18" t="s">
        <v>60</v>
      </c>
      <c r="E20" s="18" t="s">
        <v>53</v>
      </c>
      <c r="F20" s="18" t="s">
        <v>58</v>
      </c>
      <c r="G20" s="3" t="s">
        <v>39</v>
      </c>
      <c r="H20" s="3" t="s">
        <v>39</v>
      </c>
      <c r="I20" s="3" t="s">
        <v>39</v>
      </c>
      <c r="J20" s="3" t="s">
        <v>39</v>
      </c>
      <c r="K20" s="3" t="s">
        <v>11</v>
      </c>
      <c r="L20" s="3" t="s">
        <v>11</v>
      </c>
      <c r="M20" s="5">
        <v>1050</v>
      </c>
      <c r="N20" s="5">
        <v>1240</v>
      </c>
      <c r="O20" s="8">
        <v>1160</v>
      </c>
    </row>
    <row r="21" spans="2:15" x14ac:dyDescent="0.25">
      <c r="B21" s="7">
        <v>100</v>
      </c>
      <c r="C21" s="18" t="s">
        <v>46</v>
      </c>
      <c r="D21" s="18" t="s">
        <v>61</v>
      </c>
      <c r="E21" s="18" t="s">
        <v>54</v>
      </c>
      <c r="F21" s="18" t="s">
        <v>60</v>
      </c>
      <c r="G21" s="3" t="s">
        <v>39</v>
      </c>
      <c r="H21" s="3" t="s">
        <v>39</v>
      </c>
      <c r="I21" s="3" t="s">
        <v>39</v>
      </c>
      <c r="J21" s="3" t="s">
        <v>39</v>
      </c>
      <c r="K21" s="3" t="s">
        <v>11</v>
      </c>
      <c r="L21" s="3" t="s">
        <v>11</v>
      </c>
      <c r="M21" s="5">
        <v>1050</v>
      </c>
      <c r="N21" s="5">
        <v>1240</v>
      </c>
      <c r="O21" s="8">
        <v>1160</v>
      </c>
    </row>
    <row r="22" spans="2:15" x14ac:dyDescent="0.25">
      <c r="B22" s="7">
        <v>120</v>
      </c>
      <c r="C22" s="18" t="s">
        <v>47</v>
      </c>
      <c r="D22" s="18" t="s">
        <v>61</v>
      </c>
      <c r="E22" s="18" t="s">
        <v>45</v>
      </c>
      <c r="F22" s="18" t="s">
        <v>61</v>
      </c>
      <c r="G22" s="3" t="s">
        <v>39</v>
      </c>
      <c r="H22" s="3" t="s">
        <v>39</v>
      </c>
      <c r="I22" s="3" t="s">
        <v>39</v>
      </c>
      <c r="J22" s="3" t="s">
        <v>39</v>
      </c>
      <c r="K22" s="3" t="s">
        <v>11</v>
      </c>
      <c r="L22" s="3" t="s">
        <v>11</v>
      </c>
      <c r="M22" s="5">
        <v>1050</v>
      </c>
      <c r="N22" s="5">
        <v>1240</v>
      </c>
      <c r="O22" s="8">
        <v>1160</v>
      </c>
    </row>
    <row r="23" spans="2:15" x14ac:dyDescent="0.25">
      <c r="B23" s="7">
        <v>150</v>
      </c>
      <c r="C23" s="18" t="s">
        <v>48</v>
      </c>
      <c r="D23" s="18" t="s">
        <v>48</v>
      </c>
      <c r="E23" s="18" t="s">
        <v>55</v>
      </c>
      <c r="F23" s="18" t="s">
        <v>55</v>
      </c>
      <c r="G23" s="3" t="s">
        <v>39</v>
      </c>
      <c r="H23" s="3" t="s">
        <v>39</v>
      </c>
      <c r="I23" s="3" t="s">
        <v>39</v>
      </c>
      <c r="J23" s="3" t="s">
        <v>39</v>
      </c>
      <c r="K23" s="3" t="s">
        <v>11</v>
      </c>
      <c r="L23" s="3" t="s">
        <v>11</v>
      </c>
      <c r="M23" s="5">
        <v>1050</v>
      </c>
      <c r="N23" s="5">
        <v>1240</v>
      </c>
      <c r="O23" s="8">
        <v>1160</v>
      </c>
    </row>
    <row r="24" spans="2:15" x14ac:dyDescent="0.25">
      <c r="B24" s="7">
        <v>180</v>
      </c>
      <c r="C24" s="18" t="s">
        <v>49</v>
      </c>
      <c r="D24" s="18" t="s">
        <v>49</v>
      </c>
      <c r="E24" s="18" t="s">
        <v>48</v>
      </c>
      <c r="F24" s="18" t="s">
        <v>48</v>
      </c>
      <c r="G24" s="3" t="s">
        <v>39</v>
      </c>
      <c r="H24" s="3" t="s">
        <v>39</v>
      </c>
      <c r="I24" s="3" t="s">
        <v>39</v>
      </c>
      <c r="J24" s="3" t="s">
        <v>39</v>
      </c>
      <c r="K24" s="3" t="s">
        <v>11</v>
      </c>
      <c r="L24" s="3" t="s">
        <v>11</v>
      </c>
      <c r="M24" s="5">
        <v>1050</v>
      </c>
      <c r="N24" s="5">
        <v>1240</v>
      </c>
      <c r="O24" s="8">
        <v>1160</v>
      </c>
    </row>
    <row r="25" spans="2:15" x14ac:dyDescent="0.25">
      <c r="B25" s="7">
        <v>200</v>
      </c>
      <c r="C25" s="18" t="s">
        <v>50</v>
      </c>
      <c r="D25" s="18" t="s">
        <v>50</v>
      </c>
      <c r="E25" s="18" t="s">
        <v>56</v>
      </c>
      <c r="F25" s="18" t="s">
        <v>56</v>
      </c>
      <c r="G25" s="3" t="s">
        <v>39</v>
      </c>
      <c r="H25" s="3" t="s">
        <v>39</v>
      </c>
      <c r="I25" s="3" t="s">
        <v>39</v>
      </c>
      <c r="J25" s="3" t="s">
        <v>39</v>
      </c>
      <c r="K25" s="3" t="s">
        <v>11</v>
      </c>
      <c r="L25" s="3" t="s">
        <v>11</v>
      </c>
      <c r="M25" s="5">
        <v>1050</v>
      </c>
      <c r="N25" s="5">
        <v>1240</v>
      </c>
      <c r="O25" s="8">
        <v>1160</v>
      </c>
    </row>
    <row r="26" spans="2:15" ht="15.75" thickBot="1" x14ac:dyDescent="0.3">
      <c r="B26" s="9">
        <v>250</v>
      </c>
      <c r="C26" s="19" t="s">
        <v>51</v>
      </c>
      <c r="D26" s="19" t="s">
        <v>51</v>
      </c>
      <c r="E26" s="19" t="s">
        <v>50</v>
      </c>
      <c r="F26" s="19" t="s">
        <v>50</v>
      </c>
      <c r="G26" s="11" t="s">
        <v>39</v>
      </c>
      <c r="H26" s="11" t="s">
        <v>39</v>
      </c>
      <c r="I26" s="11" t="s">
        <v>39</v>
      </c>
      <c r="J26" s="11" t="s">
        <v>39</v>
      </c>
      <c r="K26" s="11" t="s">
        <v>11</v>
      </c>
      <c r="L26" s="11" t="s">
        <v>11</v>
      </c>
      <c r="M26" s="13">
        <v>1050</v>
      </c>
      <c r="N26" s="13">
        <v>1240</v>
      </c>
      <c r="O26" s="14">
        <v>1160</v>
      </c>
    </row>
    <row r="27" spans="2:15" x14ac:dyDescent="0.25">
      <c r="B27" s="12" t="s">
        <v>22</v>
      </c>
      <c r="C27" s="1"/>
      <c r="D27" s="1"/>
    </row>
    <row r="29" spans="2:15" ht="15.75" thickBot="1" x14ac:dyDescent="0.3"/>
    <row r="30" spans="2:15" ht="15.75" x14ac:dyDescent="0.25">
      <c r="B30" s="63" t="s">
        <v>2</v>
      </c>
      <c r="C30" s="70" t="s">
        <v>18</v>
      </c>
      <c r="D30" s="70"/>
      <c r="E30" s="70"/>
      <c r="F30" s="70"/>
      <c r="G30" s="52" t="s">
        <v>3</v>
      </c>
      <c r="H30" s="53"/>
      <c r="I30" s="53"/>
      <c r="J30" s="66"/>
      <c r="K30" s="51" t="s">
        <v>4</v>
      </c>
      <c r="L30" s="51"/>
      <c r="M30" s="52" t="s">
        <v>5</v>
      </c>
      <c r="N30" s="53"/>
      <c r="O30" s="54"/>
    </row>
    <row r="31" spans="2:15" ht="15.75" customHeight="1" x14ac:dyDescent="0.25">
      <c r="B31" s="64"/>
      <c r="C31" s="71" t="s">
        <v>19</v>
      </c>
      <c r="D31" s="71"/>
      <c r="E31" s="71"/>
      <c r="F31" s="71"/>
      <c r="G31" s="67" t="s">
        <v>41</v>
      </c>
      <c r="H31" s="68"/>
      <c r="I31" s="68"/>
      <c r="J31" s="69"/>
      <c r="K31" s="55" t="s">
        <v>43</v>
      </c>
      <c r="L31" s="55"/>
      <c r="M31" s="55" t="s">
        <v>40</v>
      </c>
      <c r="N31" s="55"/>
      <c r="O31" s="56"/>
    </row>
    <row r="32" spans="2:15" ht="15.75" x14ac:dyDescent="0.25">
      <c r="B32" s="64"/>
      <c r="C32" s="17" t="s">
        <v>31</v>
      </c>
      <c r="D32" s="17" t="s">
        <v>32</v>
      </c>
      <c r="E32" s="16" t="s">
        <v>33</v>
      </c>
      <c r="F32" s="16" t="s">
        <v>34</v>
      </c>
      <c r="G32" s="17" t="s">
        <v>42</v>
      </c>
      <c r="H32" s="17" t="s">
        <v>32</v>
      </c>
      <c r="I32" s="16" t="s">
        <v>33</v>
      </c>
      <c r="J32" s="16" t="s">
        <v>34</v>
      </c>
      <c r="K32" s="15" t="s">
        <v>0</v>
      </c>
      <c r="L32" s="15" t="s">
        <v>1</v>
      </c>
      <c r="M32" s="4" t="s">
        <v>6</v>
      </c>
      <c r="N32" s="4" t="s">
        <v>7</v>
      </c>
      <c r="O32" s="6" t="s">
        <v>8</v>
      </c>
    </row>
    <row r="33" spans="2:15" x14ac:dyDescent="0.25">
      <c r="B33" s="7">
        <v>60</v>
      </c>
      <c r="C33" s="2">
        <v>14</v>
      </c>
      <c r="D33" s="2" t="s">
        <v>16</v>
      </c>
      <c r="E33" s="2">
        <v>20</v>
      </c>
      <c r="F33" s="2" t="s">
        <v>15</v>
      </c>
      <c r="G33" s="3">
        <f>C33*$B33+ROUNDUP(C33/2,0)*40+150</f>
        <v>1270</v>
      </c>
      <c r="H33" s="3">
        <f>8*$B33+ROUNDUP(7/2,0)*40+150</f>
        <v>790</v>
      </c>
      <c r="I33" s="3">
        <f>$B33*E33+150</f>
        <v>1350</v>
      </c>
      <c r="J33" s="3">
        <f>$B33*10+150</f>
        <v>750</v>
      </c>
      <c r="K33" s="3" t="s">
        <v>21</v>
      </c>
      <c r="L33" s="3" t="s">
        <v>21</v>
      </c>
      <c r="M33" s="5">
        <v>1090</v>
      </c>
      <c r="N33" s="5">
        <v>1280</v>
      </c>
      <c r="O33" s="8">
        <v>1200</v>
      </c>
    </row>
    <row r="34" spans="2:15" x14ac:dyDescent="0.25">
      <c r="B34" s="7">
        <v>80</v>
      </c>
      <c r="C34" s="2">
        <v>12</v>
      </c>
      <c r="D34" s="2" t="s">
        <v>13</v>
      </c>
      <c r="E34" s="2">
        <v>15</v>
      </c>
      <c r="F34" s="2" t="s">
        <v>16</v>
      </c>
      <c r="G34" s="3">
        <f t="shared" ref="G34:G40" si="4">C34*B34+ROUNDUP(C34/2,0)*40+150</f>
        <v>1350</v>
      </c>
      <c r="H34" s="3">
        <f>6*$B34+ROUNDUP(6/2,0)*40+150</f>
        <v>750</v>
      </c>
      <c r="I34" s="3">
        <f t="shared" ref="I34:I40" si="5">$B34*E34+150</f>
        <v>1350</v>
      </c>
      <c r="J34" s="3">
        <f>$B34*8+150</f>
        <v>790</v>
      </c>
      <c r="K34" s="3" t="s">
        <v>21</v>
      </c>
      <c r="L34" s="3" t="s">
        <v>21</v>
      </c>
      <c r="M34" s="5">
        <v>1090</v>
      </c>
      <c r="N34" s="5">
        <v>1280</v>
      </c>
      <c r="O34" s="8">
        <v>1200</v>
      </c>
    </row>
    <row r="35" spans="2:15" x14ac:dyDescent="0.25">
      <c r="B35" s="7">
        <v>100</v>
      </c>
      <c r="C35" s="2">
        <v>10</v>
      </c>
      <c r="D35" s="2" t="s">
        <v>13</v>
      </c>
      <c r="E35" s="2">
        <v>12</v>
      </c>
      <c r="F35" s="2" t="s">
        <v>13</v>
      </c>
      <c r="G35" s="3">
        <f t="shared" si="4"/>
        <v>1350</v>
      </c>
      <c r="H35" s="3">
        <f>6*$B35+ROUNDUP(5/2,0)*40+150</f>
        <v>870</v>
      </c>
      <c r="I35" s="3">
        <f t="shared" si="5"/>
        <v>1350</v>
      </c>
      <c r="J35" s="3">
        <f>$B35*6+150</f>
        <v>750</v>
      </c>
      <c r="K35" s="3" t="s">
        <v>21</v>
      </c>
      <c r="L35" s="3" t="s">
        <v>21</v>
      </c>
      <c r="M35" s="5">
        <v>1090</v>
      </c>
      <c r="N35" s="5">
        <v>1280</v>
      </c>
      <c r="O35" s="8">
        <v>1200</v>
      </c>
    </row>
    <row r="36" spans="2:15" x14ac:dyDescent="0.25">
      <c r="B36" s="7">
        <v>120</v>
      </c>
      <c r="C36" s="2">
        <v>8</v>
      </c>
      <c r="D36" s="2" t="s">
        <v>62</v>
      </c>
      <c r="E36" s="2">
        <v>10</v>
      </c>
      <c r="F36" s="2" t="s">
        <v>14</v>
      </c>
      <c r="G36" s="3">
        <f t="shared" si="4"/>
        <v>1270</v>
      </c>
      <c r="H36" s="3">
        <f>4*$B36+ROUNDUP(5/2,0)*40+150</f>
        <v>750</v>
      </c>
      <c r="I36" s="3">
        <f t="shared" si="5"/>
        <v>1350</v>
      </c>
      <c r="J36" s="3">
        <f>$B36*5+150</f>
        <v>750</v>
      </c>
      <c r="K36" s="3" t="s">
        <v>21</v>
      </c>
      <c r="L36" s="3" t="s">
        <v>21</v>
      </c>
      <c r="M36" s="5">
        <v>1090</v>
      </c>
      <c r="N36" s="5">
        <v>1280</v>
      </c>
      <c r="O36" s="8">
        <v>1200</v>
      </c>
    </row>
    <row r="37" spans="2:15" x14ac:dyDescent="0.25">
      <c r="B37" s="7">
        <v>150</v>
      </c>
      <c r="C37" s="2">
        <v>6</v>
      </c>
      <c r="D37" s="2">
        <v>6</v>
      </c>
      <c r="E37" s="2">
        <v>8</v>
      </c>
      <c r="F37" s="2">
        <v>8</v>
      </c>
      <c r="G37" s="3">
        <f t="shared" si="4"/>
        <v>1170</v>
      </c>
      <c r="H37" s="3">
        <f>D37*B37+ROUNDUP(D37/2,0)*40+150</f>
        <v>1170</v>
      </c>
      <c r="I37" s="3">
        <f t="shared" si="5"/>
        <v>1350</v>
      </c>
      <c r="J37" s="3">
        <f>$B37*F37+150</f>
        <v>1350</v>
      </c>
      <c r="K37" s="3" t="s">
        <v>21</v>
      </c>
      <c r="L37" s="3" t="s">
        <v>21</v>
      </c>
      <c r="M37" s="5">
        <v>1090</v>
      </c>
      <c r="N37" s="5">
        <v>1280</v>
      </c>
      <c r="O37" s="8">
        <v>1200</v>
      </c>
    </row>
    <row r="38" spans="2:15" x14ac:dyDescent="0.25">
      <c r="B38" s="7">
        <v>180</v>
      </c>
      <c r="C38" s="2">
        <v>6</v>
      </c>
      <c r="D38" s="2">
        <v>6</v>
      </c>
      <c r="E38" s="2">
        <v>7</v>
      </c>
      <c r="F38" s="2">
        <v>7</v>
      </c>
      <c r="G38" s="3">
        <f t="shared" si="4"/>
        <v>1350</v>
      </c>
      <c r="H38" s="3">
        <f t="shared" ref="H38:H40" si="6">D38*B38+ROUNDUP(D38/2,0)*40+150</f>
        <v>1350</v>
      </c>
      <c r="I38" s="3">
        <f t="shared" si="5"/>
        <v>1410</v>
      </c>
      <c r="J38" s="3">
        <f t="shared" ref="J38:J40" si="7">$B38*F38+150</f>
        <v>1410</v>
      </c>
      <c r="K38" s="3" t="s">
        <v>21</v>
      </c>
      <c r="L38" s="3" t="s">
        <v>21</v>
      </c>
      <c r="M38" s="5">
        <v>1090</v>
      </c>
      <c r="N38" s="5">
        <v>1280</v>
      </c>
      <c r="O38" s="8">
        <v>1200</v>
      </c>
    </row>
    <row r="39" spans="2:15" x14ac:dyDescent="0.25">
      <c r="B39" s="7">
        <v>200</v>
      </c>
      <c r="C39" s="2">
        <v>4</v>
      </c>
      <c r="D39" s="2">
        <v>4</v>
      </c>
      <c r="E39" s="2">
        <v>6</v>
      </c>
      <c r="F39" s="2">
        <v>6</v>
      </c>
      <c r="G39" s="3">
        <f t="shared" si="4"/>
        <v>1030</v>
      </c>
      <c r="H39" s="3">
        <f t="shared" si="6"/>
        <v>1030</v>
      </c>
      <c r="I39" s="3">
        <f t="shared" si="5"/>
        <v>1350</v>
      </c>
      <c r="J39" s="3">
        <f t="shared" si="7"/>
        <v>1350</v>
      </c>
      <c r="K39" s="3" t="s">
        <v>21</v>
      </c>
      <c r="L39" s="3" t="s">
        <v>21</v>
      </c>
      <c r="M39" s="5">
        <v>1090</v>
      </c>
      <c r="N39" s="5">
        <v>1280</v>
      </c>
      <c r="O39" s="8">
        <v>1200</v>
      </c>
    </row>
    <row r="40" spans="2:15" ht="15.75" thickBot="1" x14ac:dyDescent="0.3">
      <c r="B40" s="9">
        <v>250</v>
      </c>
      <c r="C40" s="10">
        <v>4</v>
      </c>
      <c r="D40" s="10">
        <v>4</v>
      </c>
      <c r="E40" s="10">
        <v>5</v>
      </c>
      <c r="F40" s="10">
        <v>5</v>
      </c>
      <c r="G40" s="11">
        <f t="shared" si="4"/>
        <v>1230</v>
      </c>
      <c r="H40" s="11">
        <f t="shared" si="6"/>
        <v>1230</v>
      </c>
      <c r="I40" s="11">
        <f t="shared" si="5"/>
        <v>1400</v>
      </c>
      <c r="J40" s="11">
        <f t="shared" si="7"/>
        <v>1400</v>
      </c>
      <c r="K40" s="11" t="s">
        <v>21</v>
      </c>
      <c r="L40" s="11" t="s">
        <v>21</v>
      </c>
      <c r="M40" s="13">
        <v>1090</v>
      </c>
      <c r="N40" s="13">
        <v>1280</v>
      </c>
      <c r="O40" s="14">
        <v>1200</v>
      </c>
    </row>
    <row r="41" spans="2:15" x14ac:dyDescent="0.25">
      <c r="B41" s="12" t="s">
        <v>20</v>
      </c>
      <c r="C41" s="1"/>
      <c r="D41" s="1"/>
    </row>
    <row r="43" spans="2:15" ht="15.75" thickBot="1" x14ac:dyDescent="0.3"/>
    <row r="44" spans="2:15" ht="15.75" x14ac:dyDescent="0.25">
      <c r="B44" s="63" t="s">
        <v>2</v>
      </c>
      <c r="C44" s="70" t="s">
        <v>18</v>
      </c>
      <c r="D44" s="70"/>
      <c r="E44" s="70"/>
      <c r="F44" s="70"/>
      <c r="G44" s="52" t="s">
        <v>3</v>
      </c>
      <c r="H44" s="53"/>
      <c r="I44" s="53"/>
      <c r="J44" s="66"/>
      <c r="K44" s="51" t="s">
        <v>4</v>
      </c>
      <c r="L44" s="51"/>
      <c r="M44" s="52" t="s">
        <v>5</v>
      </c>
      <c r="N44" s="53"/>
      <c r="O44" s="54"/>
    </row>
    <row r="45" spans="2:15" ht="15.75" customHeight="1" x14ac:dyDescent="0.25">
      <c r="B45" s="64"/>
      <c r="C45" s="71" t="s">
        <v>24</v>
      </c>
      <c r="D45" s="71"/>
      <c r="E45" s="71"/>
      <c r="F45" s="71"/>
      <c r="G45" s="67" t="s">
        <v>41</v>
      </c>
      <c r="H45" s="68"/>
      <c r="I45" s="68"/>
      <c r="J45" s="69"/>
      <c r="K45" s="55" t="s">
        <v>43</v>
      </c>
      <c r="L45" s="55"/>
      <c r="M45" s="55" t="s">
        <v>40</v>
      </c>
      <c r="N45" s="55"/>
      <c r="O45" s="56"/>
    </row>
    <row r="46" spans="2:15" ht="15.75" x14ac:dyDescent="0.25">
      <c r="B46" s="64"/>
      <c r="C46" s="17" t="s">
        <v>31</v>
      </c>
      <c r="D46" s="17" t="s">
        <v>32</v>
      </c>
      <c r="E46" s="16" t="s">
        <v>33</v>
      </c>
      <c r="F46" s="16" t="s">
        <v>34</v>
      </c>
      <c r="G46" s="17" t="s">
        <v>42</v>
      </c>
      <c r="H46" s="17" t="s">
        <v>32</v>
      </c>
      <c r="I46" s="16" t="s">
        <v>33</v>
      </c>
      <c r="J46" s="16" t="s">
        <v>34</v>
      </c>
      <c r="K46" s="15" t="s">
        <v>0</v>
      </c>
      <c r="L46" s="15" t="s">
        <v>1</v>
      </c>
      <c r="M46" s="4" t="s">
        <v>6</v>
      </c>
      <c r="N46" s="4" t="s">
        <v>7</v>
      </c>
      <c r="O46" s="6" t="s">
        <v>8</v>
      </c>
    </row>
    <row r="47" spans="2:15" x14ac:dyDescent="0.25">
      <c r="B47" s="7">
        <v>60</v>
      </c>
      <c r="C47" s="2">
        <v>14</v>
      </c>
      <c r="D47" s="2" t="s">
        <v>12</v>
      </c>
      <c r="E47" s="2">
        <v>20</v>
      </c>
      <c r="F47" s="2" t="s">
        <v>15</v>
      </c>
      <c r="G47" s="3">
        <f>C47*$B47+ROUNDUP(C47/2,0)*40+220</f>
        <v>1340</v>
      </c>
      <c r="H47" s="3">
        <f>7*$B47+ROUNDUP(7/2,0)*40+220</f>
        <v>800</v>
      </c>
      <c r="I47" s="3">
        <f>$B47*E47+220</f>
        <v>1420</v>
      </c>
      <c r="J47" s="3">
        <f>$B47*10+220</f>
        <v>820</v>
      </c>
      <c r="K47" s="3" t="s">
        <v>29</v>
      </c>
      <c r="L47" s="3" t="s">
        <v>29</v>
      </c>
      <c r="M47" s="5">
        <v>1130</v>
      </c>
      <c r="N47" s="5">
        <v>1310</v>
      </c>
      <c r="O47" s="8">
        <v>1200</v>
      </c>
    </row>
    <row r="48" spans="2:15" x14ac:dyDescent="0.25">
      <c r="B48" s="7">
        <v>80</v>
      </c>
      <c r="C48" s="2">
        <v>12</v>
      </c>
      <c r="D48" s="2" t="s">
        <v>13</v>
      </c>
      <c r="E48" s="2">
        <v>15</v>
      </c>
      <c r="F48" s="2" t="s">
        <v>16</v>
      </c>
      <c r="G48" s="3">
        <f t="shared" ref="G48:G54" si="8">C48*$B48+ROUNDUP(C48/2,0)*40+220</f>
        <v>1420</v>
      </c>
      <c r="H48" s="3">
        <f>6*$B48+ROUNDUP(6/2,0)*40+220</f>
        <v>820</v>
      </c>
      <c r="I48" s="3">
        <f t="shared" ref="I48:I54" si="9">$B48*E48+220</f>
        <v>1420</v>
      </c>
      <c r="J48" s="3">
        <f>$B48*8+220</f>
        <v>860</v>
      </c>
      <c r="K48" s="3" t="s">
        <v>29</v>
      </c>
      <c r="L48" s="3" t="s">
        <v>29</v>
      </c>
      <c r="M48" s="5">
        <v>1130</v>
      </c>
      <c r="N48" s="5">
        <v>1310</v>
      </c>
      <c r="O48" s="8">
        <v>1200</v>
      </c>
    </row>
    <row r="49" spans="2:15" x14ac:dyDescent="0.25">
      <c r="B49" s="7">
        <v>100</v>
      </c>
      <c r="C49" s="2">
        <v>10</v>
      </c>
      <c r="D49" s="2" t="s">
        <v>14</v>
      </c>
      <c r="E49" s="2">
        <v>12</v>
      </c>
      <c r="F49" s="2" t="s">
        <v>13</v>
      </c>
      <c r="G49" s="3">
        <f t="shared" si="8"/>
        <v>1420</v>
      </c>
      <c r="H49" s="3">
        <f>5*$B49+ROUNDUP(5/2,0)*40+220</f>
        <v>840</v>
      </c>
      <c r="I49" s="3">
        <f t="shared" si="9"/>
        <v>1420</v>
      </c>
      <c r="J49" s="3">
        <f>$B49*6+220</f>
        <v>820</v>
      </c>
      <c r="K49" s="3" t="s">
        <v>29</v>
      </c>
      <c r="L49" s="3" t="s">
        <v>29</v>
      </c>
      <c r="M49" s="5">
        <v>1130</v>
      </c>
      <c r="N49" s="5">
        <v>1310</v>
      </c>
      <c r="O49" s="8">
        <v>1200</v>
      </c>
    </row>
    <row r="50" spans="2:15" x14ac:dyDescent="0.25">
      <c r="B50" s="7">
        <v>120</v>
      </c>
      <c r="C50" s="2">
        <v>8</v>
      </c>
      <c r="D50" s="2" t="s">
        <v>14</v>
      </c>
      <c r="E50" s="2">
        <v>10</v>
      </c>
      <c r="F50" s="2" t="s">
        <v>14</v>
      </c>
      <c r="G50" s="3">
        <f t="shared" si="8"/>
        <v>1340</v>
      </c>
      <c r="H50" s="3">
        <f>5*$B50+ROUNDUP(5/2,0)*40+220</f>
        <v>940</v>
      </c>
      <c r="I50" s="3">
        <f t="shared" si="9"/>
        <v>1420</v>
      </c>
      <c r="J50" s="3">
        <f>$B50*5+220</f>
        <v>820</v>
      </c>
      <c r="K50" s="3" t="s">
        <v>29</v>
      </c>
      <c r="L50" s="3" t="s">
        <v>29</v>
      </c>
      <c r="M50" s="5">
        <v>1130</v>
      </c>
      <c r="N50" s="5">
        <v>1310</v>
      </c>
      <c r="O50" s="8">
        <v>1200</v>
      </c>
    </row>
    <row r="51" spans="2:15" x14ac:dyDescent="0.25">
      <c r="B51" s="7">
        <v>150</v>
      </c>
      <c r="C51" s="2">
        <v>7</v>
      </c>
      <c r="D51" s="2">
        <v>7</v>
      </c>
      <c r="E51" s="2">
        <v>8</v>
      </c>
      <c r="F51" s="2">
        <v>8</v>
      </c>
      <c r="G51" s="3">
        <f t="shared" si="8"/>
        <v>1430</v>
      </c>
      <c r="H51" s="3">
        <f>D51*B51+ROUNDUP(D51/2,0)*40+220</f>
        <v>1430</v>
      </c>
      <c r="I51" s="3">
        <f t="shared" si="9"/>
        <v>1420</v>
      </c>
      <c r="J51" s="3">
        <f>$B51*F51+220</f>
        <v>1420</v>
      </c>
      <c r="K51" s="3" t="s">
        <v>29</v>
      </c>
      <c r="L51" s="3" t="s">
        <v>29</v>
      </c>
      <c r="M51" s="5">
        <v>1130</v>
      </c>
      <c r="N51" s="5">
        <v>1310</v>
      </c>
      <c r="O51" s="8">
        <v>1200</v>
      </c>
    </row>
    <row r="52" spans="2:15" x14ac:dyDescent="0.25">
      <c r="B52" s="7">
        <v>180</v>
      </c>
      <c r="C52" s="2">
        <v>6</v>
      </c>
      <c r="D52" s="2">
        <v>6</v>
      </c>
      <c r="E52" s="2">
        <v>6</v>
      </c>
      <c r="F52" s="2">
        <v>6</v>
      </c>
      <c r="G52" s="3">
        <f t="shared" si="8"/>
        <v>1420</v>
      </c>
      <c r="H52" s="3">
        <f t="shared" ref="H52:H54" si="10">D52*B52+ROUNDUP(D52/2,0)*40+220</f>
        <v>1420</v>
      </c>
      <c r="I52" s="3">
        <f t="shared" si="9"/>
        <v>1300</v>
      </c>
      <c r="J52" s="3">
        <f t="shared" ref="J52:J54" si="11">$B52*F52+220</f>
        <v>1300</v>
      </c>
      <c r="K52" s="3" t="s">
        <v>29</v>
      </c>
      <c r="L52" s="3" t="s">
        <v>29</v>
      </c>
      <c r="M52" s="5">
        <v>1130</v>
      </c>
      <c r="N52" s="5">
        <v>1310</v>
      </c>
      <c r="O52" s="8">
        <v>1200</v>
      </c>
    </row>
    <row r="53" spans="2:15" x14ac:dyDescent="0.25">
      <c r="B53" s="7">
        <v>200</v>
      </c>
      <c r="C53" s="2">
        <v>5</v>
      </c>
      <c r="D53" s="2">
        <v>5</v>
      </c>
      <c r="E53" s="2">
        <v>6</v>
      </c>
      <c r="F53" s="2">
        <v>6</v>
      </c>
      <c r="G53" s="3">
        <f t="shared" si="8"/>
        <v>1340</v>
      </c>
      <c r="H53" s="3">
        <f t="shared" si="10"/>
        <v>1340</v>
      </c>
      <c r="I53" s="3">
        <f t="shared" si="9"/>
        <v>1420</v>
      </c>
      <c r="J53" s="3">
        <f t="shared" si="11"/>
        <v>1420</v>
      </c>
      <c r="K53" s="3" t="s">
        <v>29</v>
      </c>
      <c r="L53" s="3" t="s">
        <v>29</v>
      </c>
      <c r="M53" s="5">
        <v>1130</v>
      </c>
      <c r="N53" s="5">
        <v>1310</v>
      </c>
      <c r="O53" s="8">
        <v>1200</v>
      </c>
    </row>
    <row r="54" spans="2:15" ht="15.75" thickBot="1" x14ac:dyDescent="0.3">
      <c r="B54" s="9">
        <v>250</v>
      </c>
      <c r="C54" s="10">
        <v>4</v>
      </c>
      <c r="D54" s="10">
        <v>4</v>
      </c>
      <c r="E54" s="10">
        <v>4</v>
      </c>
      <c r="F54" s="10">
        <v>4</v>
      </c>
      <c r="G54" s="11">
        <f t="shared" si="8"/>
        <v>1300</v>
      </c>
      <c r="H54" s="11">
        <f t="shared" si="10"/>
        <v>1300</v>
      </c>
      <c r="I54" s="11">
        <f t="shared" si="9"/>
        <v>1220</v>
      </c>
      <c r="J54" s="11">
        <f t="shared" si="11"/>
        <v>1220</v>
      </c>
      <c r="K54" s="11" t="s">
        <v>29</v>
      </c>
      <c r="L54" s="11" t="s">
        <v>29</v>
      </c>
      <c r="M54" s="13">
        <v>1130</v>
      </c>
      <c r="N54" s="13">
        <v>1310</v>
      </c>
      <c r="O54" s="14">
        <v>1200</v>
      </c>
    </row>
    <row r="55" spans="2:15" x14ac:dyDescent="0.25">
      <c r="B55" s="12" t="s">
        <v>26</v>
      </c>
      <c r="C55" s="1"/>
      <c r="D55" s="1"/>
    </row>
    <row r="56" spans="2:15" x14ac:dyDescent="0.25">
      <c r="B56" s="12"/>
      <c r="C56" s="1"/>
      <c r="D56" s="1"/>
    </row>
    <row r="57" spans="2:15" ht="15.75" thickBot="1" x14ac:dyDescent="0.3">
      <c r="B57" s="1"/>
      <c r="C57" s="1"/>
      <c r="D57" s="1"/>
    </row>
    <row r="58" spans="2:15" ht="15.75" x14ac:dyDescent="0.25">
      <c r="B58" s="63" t="s">
        <v>2</v>
      </c>
      <c r="C58" s="70" t="s">
        <v>18</v>
      </c>
      <c r="D58" s="70"/>
      <c r="E58" s="70"/>
      <c r="F58" s="70"/>
      <c r="G58" s="52" t="s">
        <v>3</v>
      </c>
      <c r="H58" s="53"/>
      <c r="I58" s="53"/>
      <c r="J58" s="66"/>
      <c r="K58" s="51" t="s">
        <v>4</v>
      </c>
      <c r="L58" s="51"/>
      <c r="M58" s="52" t="s">
        <v>5</v>
      </c>
      <c r="N58" s="53"/>
      <c r="O58" s="54"/>
    </row>
    <row r="59" spans="2:15" ht="15.75" customHeight="1" x14ac:dyDescent="0.25">
      <c r="B59" s="64"/>
      <c r="C59" s="71" t="s">
        <v>28</v>
      </c>
      <c r="D59" s="71"/>
      <c r="E59" s="71"/>
      <c r="F59" s="71"/>
      <c r="G59" s="67" t="s">
        <v>41</v>
      </c>
      <c r="H59" s="68"/>
      <c r="I59" s="68"/>
      <c r="J59" s="69"/>
      <c r="K59" s="55" t="s">
        <v>43</v>
      </c>
      <c r="L59" s="55"/>
      <c r="M59" s="55" t="s">
        <v>40</v>
      </c>
      <c r="N59" s="55"/>
      <c r="O59" s="56"/>
    </row>
    <row r="60" spans="2:15" ht="15.75" x14ac:dyDescent="0.25">
      <c r="B60" s="64"/>
      <c r="C60" s="17" t="s">
        <v>31</v>
      </c>
      <c r="D60" s="17" t="s">
        <v>32</v>
      </c>
      <c r="E60" s="16" t="s">
        <v>33</v>
      </c>
      <c r="F60" s="16" t="s">
        <v>34</v>
      </c>
      <c r="G60" s="17" t="s">
        <v>42</v>
      </c>
      <c r="H60" s="17" t="s">
        <v>32</v>
      </c>
      <c r="I60" s="16" t="s">
        <v>33</v>
      </c>
      <c r="J60" s="16" t="s">
        <v>34</v>
      </c>
      <c r="K60" s="15" t="s">
        <v>0</v>
      </c>
      <c r="L60" s="15" t="s">
        <v>1</v>
      </c>
      <c r="M60" s="4" t="s">
        <v>6</v>
      </c>
      <c r="N60" s="4" t="s">
        <v>7</v>
      </c>
      <c r="O60" s="6" t="s">
        <v>8</v>
      </c>
    </row>
    <row r="61" spans="2:15" x14ac:dyDescent="0.25">
      <c r="B61" s="7">
        <v>60</v>
      </c>
      <c r="C61" s="2">
        <v>14</v>
      </c>
      <c r="D61" s="2" t="s">
        <v>12</v>
      </c>
      <c r="E61" s="2">
        <v>19</v>
      </c>
      <c r="F61" s="2" t="s">
        <v>15</v>
      </c>
      <c r="G61" s="3">
        <f>C61*$B61+ROUNDUP(C61/2,0)*40+280</f>
        <v>1400</v>
      </c>
      <c r="H61" s="3">
        <f>7*$B61+ROUNDUP(6/2,0)*40+280</f>
        <v>820</v>
      </c>
      <c r="I61" s="3">
        <f>$B61*E61+280</f>
        <v>1420</v>
      </c>
      <c r="J61" s="3">
        <f>$B61*10+280</f>
        <v>880</v>
      </c>
      <c r="K61" s="3" t="s">
        <v>30</v>
      </c>
      <c r="L61" s="3" t="s">
        <v>30</v>
      </c>
      <c r="M61" s="5">
        <f t="shared" ref="M61:O68" si="12">M47+100</f>
        <v>1230</v>
      </c>
      <c r="N61" s="5">
        <f t="shared" si="12"/>
        <v>1410</v>
      </c>
      <c r="O61" s="8">
        <f t="shared" si="12"/>
        <v>1300</v>
      </c>
    </row>
    <row r="62" spans="2:15" x14ac:dyDescent="0.25">
      <c r="B62" s="7">
        <v>80</v>
      </c>
      <c r="C62" s="2">
        <v>10</v>
      </c>
      <c r="D62" s="2" t="s">
        <v>13</v>
      </c>
      <c r="E62" s="2">
        <v>14</v>
      </c>
      <c r="F62" s="2" t="s">
        <v>16</v>
      </c>
      <c r="G62" s="3">
        <f t="shared" ref="G62:H68" si="13">C62*$B62+ROUNDUP(C62/2,0)*40+280</f>
        <v>1280</v>
      </c>
      <c r="H62" s="3">
        <f>6*$B62+ROUNDUP(5/2,0)*40+280</f>
        <v>880</v>
      </c>
      <c r="I62" s="3">
        <f t="shared" ref="I62:J68" si="14">$B62*E62+280</f>
        <v>1400</v>
      </c>
      <c r="J62" s="3">
        <f>$B62*8+280</f>
        <v>920</v>
      </c>
      <c r="K62" s="3" t="s">
        <v>30</v>
      </c>
      <c r="L62" s="3" t="s">
        <v>30</v>
      </c>
      <c r="M62" s="5">
        <f t="shared" si="12"/>
        <v>1230</v>
      </c>
      <c r="N62" s="5">
        <f t="shared" si="12"/>
        <v>1410</v>
      </c>
      <c r="O62" s="8">
        <f t="shared" si="12"/>
        <v>1300</v>
      </c>
    </row>
    <row r="63" spans="2:15" x14ac:dyDescent="0.25">
      <c r="B63" s="7">
        <v>100</v>
      </c>
      <c r="C63" s="2">
        <v>8</v>
      </c>
      <c r="D63" s="2" t="s">
        <v>14</v>
      </c>
      <c r="E63" s="2">
        <v>10</v>
      </c>
      <c r="F63" s="2" t="s">
        <v>13</v>
      </c>
      <c r="G63" s="3">
        <f t="shared" si="13"/>
        <v>1240</v>
      </c>
      <c r="H63" s="3">
        <f>5*$B63+ROUNDUP(4/2,0)*40+280</f>
        <v>860</v>
      </c>
      <c r="I63" s="3">
        <f t="shared" si="14"/>
        <v>1280</v>
      </c>
      <c r="J63" s="3">
        <f>$B63*6+280</f>
        <v>880</v>
      </c>
      <c r="K63" s="3" t="s">
        <v>30</v>
      </c>
      <c r="L63" s="3" t="s">
        <v>30</v>
      </c>
      <c r="M63" s="5">
        <f t="shared" si="12"/>
        <v>1230</v>
      </c>
      <c r="N63" s="5">
        <f t="shared" si="12"/>
        <v>1410</v>
      </c>
      <c r="O63" s="8">
        <f t="shared" si="12"/>
        <v>1300</v>
      </c>
    </row>
    <row r="64" spans="2:15" x14ac:dyDescent="0.25">
      <c r="B64" s="7">
        <v>120</v>
      </c>
      <c r="C64" s="2">
        <v>8</v>
      </c>
      <c r="D64" s="2" t="s">
        <v>14</v>
      </c>
      <c r="E64" s="2">
        <v>9</v>
      </c>
      <c r="F64" s="2" t="s">
        <v>14</v>
      </c>
      <c r="G64" s="3">
        <f t="shared" si="13"/>
        <v>1400</v>
      </c>
      <c r="H64" s="3">
        <f>5*$B64+ROUNDUP(4/2,0)*40+280</f>
        <v>960</v>
      </c>
      <c r="I64" s="3">
        <f t="shared" si="14"/>
        <v>1360</v>
      </c>
      <c r="J64" s="3">
        <f>$B64*5+280</f>
        <v>880</v>
      </c>
      <c r="K64" s="3" t="s">
        <v>30</v>
      </c>
      <c r="L64" s="3" t="s">
        <v>30</v>
      </c>
      <c r="M64" s="5">
        <f t="shared" si="12"/>
        <v>1230</v>
      </c>
      <c r="N64" s="5">
        <f t="shared" si="12"/>
        <v>1410</v>
      </c>
      <c r="O64" s="8">
        <f t="shared" si="12"/>
        <v>1300</v>
      </c>
    </row>
    <row r="65" spans="2:15" x14ac:dyDescent="0.25">
      <c r="B65" s="7">
        <v>150</v>
      </c>
      <c r="C65" s="2">
        <v>6</v>
      </c>
      <c r="D65" s="2">
        <v>6</v>
      </c>
      <c r="E65" s="2">
        <v>7</v>
      </c>
      <c r="F65" s="2">
        <v>7</v>
      </c>
      <c r="G65" s="3">
        <f t="shared" si="13"/>
        <v>1300</v>
      </c>
      <c r="H65" s="3">
        <f t="shared" si="13"/>
        <v>1300</v>
      </c>
      <c r="I65" s="3">
        <f t="shared" si="14"/>
        <v>1330</v>
      </c>
      <c r="J65" s="3">
        <f t="shared" si="14"/>
        <v>1330</v>
      </c>
      <c r="K65" s="3" t="s">
        <v>30</v>
      </c>
      <c r="L65" s="3" t="s">
        <v>30</v>
      </c>
      <c r="M65" s="5">
        <f t="shared" si="12"/>
        <v>1230</v>
      </c>
      <c r="N65" s="5">
        <f t="shared" si="12"/>
        <v>1410</v>
      </c>
      <c r="O65" s="8">
        <f t="shared" si="12"/>
        <v>1300</v>
      </c>
    </row>
    <row r="66" spans="2:15" x14ac:dyDescent="0.25">
      <c r="B66" s="7">
        <v>180</v>
      </c>
      <c r="C66" s="2">
        <v>5</v>
      </c>
      <c r="D66" s="2">
        <v>5</v>
      </c>
      <c r="E66" s="2">
        <v>6</v>
      </c>
      <c r="F66" s="2">
        <v>6</v>
      </c>
      <c r="G66" s="3">
        <f t="shared" si="13"/>
        <v>1300</v>
      </c>
      <c r="H66" s="3">
        <f t="shared" si="13"/>
        <v>1300</v>
      </c>
      <c r="I66" s="3">
        <f t="shared" si="14"/>
        <v>1360</v>
      </c>
      <c r="J66" s="3">
        <f t="shared" si="14"/>
        <v>1360</v>
      </c>
      <c r="K66" s="3" t="s">
        <v>30</v>
      </c>
      <c r="L66" s="3" t="s">
        <v>30</v>
      </c>
      <c r="M66" s="5">
        <f t="shared" si="12"/>
        <v>1230</v>
      </c>
      <c r="N66" s="5">
        <f t="shared" si="12"/>
        <v>1410</v>
      </c>
      <c r="O66" s="8">
        <f t="shared" si="12"/>
        <v>1300</v>
      </c>
    </row>
    <row r="67" spans="2:15" x14ac:dyDescent="0.25">
      <c r="B67" s="7">
        <v>200</v>
      </c>
      <c r="C67" s="2">
        <v>5</v>
      </c>
      <c r="D67" s="2">
        <v>5</v>
      </c>
      <c r="E67" s="2">
        <v>5</v>
      </c>
      <c r="F67" s="2">
        <v>5</v>
      </c>
      <c r="G67" s="3">
        <f t="shared" si="13"/>
        <v>1400</v>
      </c>
      <c r="H67" s="3">
        <f t="shared" si="13"/>
        <v>1400</v>
      </c>
      <c r="I67" s="3">
        <f t="shared" si="14"/>
        <v>1280</v>
      </c>
      <c r="J67" s="3">
        <f t="shared" si="14"/>
        <v>1280</v>
      </c>
      <c r="K67" s="3" t="s">
        <v>30</v>
      </c>
      <c r="L67" s="3" t="s">
        <v>30</v>
      </c>
      <c r="M67" s="5">
        <f t="shared" si="12"/>
        <v>1230</v>
      </c>
      <c r="N67" s="5">
        <f t="shared" si="12"/>
        <v>1410</v>
      </c>
      <c r="O67" s="8">
        <f t="shared" si="12"/>
        <v>1300</v>
      </c>
    </row>
    <row r="68" spans="2:15" ht="15.75" thickBot="1" x14ac:dyDescent="0.3">
      <c r="B68" s="9">
        <v>250</v>
      </c>
      <c r="C68" s="10">
        <v>4</v>
      </c>
      <c r="D68" s="10">
        <v>4</v>
      </c>
      <c r="E68" s="10">
        <v>4</v>
      </c>
      <c r="F68" s="10">
        <v>4</v>
      </c>
      <c r="G68" s="11">
        <f t="shared" si="13"/>
        <v>1360</v>
      </c>
      <c r="H68" s="11">
        <f t="shared" si="13"/>
        <v>1360</v>
      </c>
      <c r="I68" s="11">
        <f t="shared" si="14"/>
        <v>1280</v>
      </c>
      <c r="J68" s="11">
        <f t="shared" si="14"/>
        <v>1280</v>
      </c>
      <c r="K68" s="11" t="s">
        <v>30</v>
      </c>
      <c r="L68" s="11" t="s">
        <v>30</v>
      </c>
      <c r="M68" s="13">
        <f t="shared" si="12"/>
        <v>1230</v>
      </c>
      <c r="N68" s="13">
        <f t="shared" si="12"/>
        <v>1410</v>
      </c>
      <c r="O68" s="14">
        <f t="shared" si="12"/>
        <v>1300</v>
      </c>
    </row>
    <row r="69" spans="2:15" x14ac:dyDescent="0.25">
      <c r="B69" s="12" t="s">
        <v>27</v>
      </c>
      <c r="C69" s="1"/>
      <c r="D69" s="1"/>
    </row>
    <row r="71" spans="2:15" x14ac:dyDescent="0.25">
      <c r="B71" t="s">
        <v>37</v>
      </c>
    </row>
    <row r="72" spans="2:15" x14ac:dyDescent="0.25">
      <c r="B72" t="s">
        <v>23</v>
      </c>
    </row>
    <row r="74" spans="2:15" x14ac:dyDescent="0.25">
      <c r="B74" t="s">
        <v>9</v>
      </c>
    </row>
    <row r="76" spans="2:15" x14ac:dyDescent="0.25">
      <c r="B76" t="s">
        <v>35</v>
      </c>
    </row>
    <row r="77" spans="2:15" x14ac:dyDescent="0.25">
      <c r="B77" t="s">
        <v>38</v>
      </c>
    </row>
  </sheetData>
  <mergeCells count="45">
    <mergeCell ref="M45:O45"/>
    <mergeCell ref="M58:O58"/>
    <mergeCell ref="M59:O59"/>
    <mergeCell ref="K44:L44"/>
    <mergeCell ref="K45:L45"/>
    <mergeCell ref="K58:L58"/>
    <mergeCell ref="K59:L59"/>
    <mergeCell ref="M44:O44"/>
    <mergeCell ref="G44:J44"/>
    <mergeCell ref="B16:B18"/>
    <mergeCell ref="K16:L16"/>
    <mergeCell ref="K17:L17"/>
    <mergeCell ref="M30:O30"/>
    <mergeCell ref="M31:O31"/>
    <mergeCell ref="B30:B32"/>
    <mergeCell ref="G16:J16"/>
    <mergeCell ref="G17:J17"/>
    <mergeCell ref="C30:F30"/>
    <mergeCell ref="B58:B60"/>
    <mergeCell ref="M17:O17"/>
    <mergeCell ref="B44:B46"/>
    <mergeCell ref="C16:F16"/>
    <mergeCell ref="C17:F17"/>
    <mergeCell ref="M16:O16"/>
    <mergeCell ref="C31:F31"/>
    <mergeCell ref="K30:L30"/>
    <mergeCell ref="K31:L31"/>
    <mergeCell ref="G45:J45"/>
    <mergeCell ref="G58:J58"/>
    <mergeCell ref="G59:J59"/>
    <mergeCell ref="C45:F45"/>
    <mergeCell ref="C44:F44"/>
    <mergeCell ref="C58:F58"/>
    <mergeCell ref="C59:F59"/>
    <mergeCell ref="B2:B4"/>
    <mergeCell ref="G2:J2"/>
    <mergeCell ref="G3:J3"/>
    <mergeCell ref="G30:J30"/>
    <mergeCell ref="G31:J31"/>
    <mergeCell ref="K2:L2"/>
    <mergeCell ref="M2:O2"/>
    <mergeCell ref="K3:L3"/>
    <mergeCell ref="M3:O3"/>
    <mergeCell ref="C3:F3"/>
    <mergeCell ref="C2:F2"/>
  </mergeCells>
  <pageMargins left="0.25" right="0.25" top="0.75" bottom="0.75" header="0.3" footer="0.3"/>
  <pageSetup paperSize="9" scale="42" orientation="landscape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71"/>
  <sheetViews>
    <sheetView tabSelected="1" topLeftCell="A51" zoomScale="70" zoomScaleNormal="70" workbookViewId="0">
      <selection activeCell="O76" sqref="O76"/>
    </sheetView>
  </sheetViews>
  <sheetFormatPr defaultRowHeight="15" x14ac:dyDescent="0.25"/>
  <cols>
    <col min="2" max="3" width="22.28515625" style="21" customWidth="1"/>
    <col min="4" max="4" width="15.7109375" style="21" bestFit="1" customWidth="1"/>
    <col min="5" max="5" width="14.5703125" style="21" bestFit="1" customWidth="1"/>
    <col min="6" max="6" width="14" style="21" customWidth="1"/>
    <col min="7" max="7" width="14.140625" style="21" customWidth="1"/>
    <col min="8" max="8" width="15.140625" style="21" bestFit="1" customWidth="1"/>
    <col min="9" max="9" width="14.5703125" style="21" bestFit="1" customWidth="1"/>
    <col min="10" max="10" width="12.7109375" style="21" bestFit="1" customWidth="1"/>
    <col min="11" max="11" width="14.28515625" style="21" customWidth="1"/>
    <col min="12" max="16" width="12.7109375" style="21" customWidth="1"/>
    <col min="17" max="17" width="12.28515625" style="21" customWidth="1"/>
    <col min="19" max="19" width="15.140625" bestFit="1" customWidth="1"/>
    <col min="20" max="20" width="14.5703125" bestFit="1" customWidth="1"/>
    <col min="21" max="22" width="13" bestFit="1" customWidth="1"/>
    <col min="24" max="24" width="15.140625" bestFit="1" customWidth="1"/>
    <col min="25" max="25" width="14.5703125" bestFit="1" customWidth="1"/>
    <col min="26" max="27" width="13" bestFit="1" customWidth="1"/>
  </cols>
  <sheetData>
    <row r="1" spans="2:27" ht="36" customHeight="1" thickBot="1" x14ac:dyDescent="0.3">
      <c r="N1" s="22"/>
      <c r="O1" s="22"/>
      <c r="P1" s="22"/>
      <c r="Q1" s="22"/>
    </row>
    <row r="2" spans="2:27" ht="15.75" customHeight="1" x14ac:dyDescent="0.25">
      <c r="B2" s="75" t="s">
        <v>2</v>
      </c>
      <c r="C2" s="77" t="s">
        <v>64</v>
      </c>
      <c r="D2" s="102" t="s">
        <v>18</v>
      </c>
      <c r="E2" s="103"/>
      <c r="F2" s="103"/>
      <c r="G2" s="104"/>
      <c r="H2" s="84" t="s">
        <v>3</v>
      </c>
      <c r="I2" s="85"/>
      <c r="J2" s="85"/>
      <c r="K2" s="86"/>
      <c r="L2" s="93" t="s">
        <v>4</v>
      </c>
      <c r="M2" s="93"/>
      <c r="N2" s="84" t="s">
        <v>5</v>
      </c>
      <c r="O2" s="85"/>
      <c r="P2" s="85"/>
      <c r="Q2" s="100"/>
      <c r="S2" s="52" t="s">
        <v>3</v>
      </c>
      <c r="T2" s="53"/>
      <c r="U2" s="53"/>
      <c r="V2" s="66"/>
      <c r="X2" s="52" t="s">
        <v>3</v>
      </c>
      <c r="Y2" s="53"/>
      <c r="Z2" s="53"/>
      <c r="AA2" s="66"/>
    </row>
    <row r="3" spans="2:27" ht="15.75" customHeight="1" x14ac:dyDescent="0.25">
      <c r="B3" s="76"/>
      <c r="C3" s="78"/>
      <c r="D3" s="105" t="s">
        <v>10</v>
      </c>
      <c r="E3" s="106"/>
      <c r="F3" s="106"/>
      <c r="G3" s="107"/>
      <c r="H3" s="88" t="s">
        <v>41</v>
      </c>
      <c r="I3" s="89"/>
      <c r="J3" s="89"/>
      <c r="K3" s="90"/>
      <c r="L3" s="92" t="s">
        <v>43</v>
      </c>
      <c r="M3" s="92"/>
      <c r="N3" s="92" t="s">
        <v>40</v>
      </c>
      <c r="O3" s="92"/>
      <c r="P3" s="92"/>
      <c r="Q3" s="95"/>
      <c r="S3" s="67" t="s">
        <v>69</v>
      </c>
      <c r="T3" s="68"/>
      <c r="U3" s="68"/>
      <c r="V3" s="69"/>
      <c r="X3" s="67" t="s">
        <v>70</v>
      </c>
      <c r="Y3" s="68"/>
      <c r="Z3" s="68"/>
      <c r="AA3" s="69"/>
    </row>
    <row r="4" spans="2:27" ht="15.75" customHeight="1" x14ac:dyDescent="0.25">
      <c r="B4" s="101"/>
      <c r="C4" s="79"/>
      <c r="D4" s="23" t="s">
        <v>36</v>
      </c>
      <c r="E4" s="23" t="s">
        <v>32</v>
      </c>
      <c r="F4" s="24" t="s">
        <v>33</v>
      </c>
      <c r="G4" s="24" t="s">
        <v>34</v>
      </c>
      <c r="H4" s="23" t="s">
        <v>42</v>
      </c>
      <c r="I4" s="23" t="s">
        <v>32</v>
      </c>
      <c r="J4" s="24" t="s">
        <v>33</v>
      </c>
      <c r="K4" s="24" t="s">
        <v>34</v>
      </c>
      <c r="L4" s="4" t="s">
        <v>0</v>
      </c>
      <c r="M4" s="4" t="s">
        <v>1</v>
      </c>
      <c r="N4" s="4" t="s">
        <v>6</v>
      </c>
      <c r="O4" s="4" t="s">
        <v>65</v>
      </c>
      <c r="P4" s="4" t="s">
        <v>7</v>
      </c>
      <c r="Q4" s="6" t="s">
        <v>8</v>
      </c>
      <c r="S4" s="17" t="s">
        <v>42</v>
      </c>
      <c r="T4" s="17" t="s">
        <v>32</v>
      </c>
      <c r="U4" s="16" t="s">
        <v>33</v>
      </c>
      <c r="V4" s="16" t="s">
        <v>34</v>
      </c>
      <c r="X4" s="17" t="s">
        <v>42</v>
      </c>
      <c r="Y4" s="17" t="s">
        <v>32</v>
      </c>
      <c r="Z4" s="16" t="s">
        <v>33</v>
      </c>
      <c r="AA4" s="16" t="s">
        <v>34</v>
      </c>
    </row>
    <row r="5" spans="2:27" ht="15.75" customHeight="1" x14ac:dyDescent="0.25">
      <c r="B5" s="25" t="s">
        <v>68</v>
      </c>
      <c r="C5" s="26">
        <v>50</v>
      </c>
      <c r="D5" s="27">
        <v>17</v>
      </c>
      <c r="E5" s="28" t="s">
        <v>12</v>
      </c>
      <c r="F5" s="29">
        <v>24</v>
      </c>
      <c r="G5" s="30" t="s">
        <v>15</v>
      </c>
      <c r="H5" s="31">
        <f>(D5*$C5+ROUNDUP(D5/2,0)*40)+20+100</f>
        <v>1330</v>
      </c>
      <c r="I5" s="31">
        <f>7*$C5+ROUNDUP(7/2,0)*40+20+100</f>
        <v>630</v>
      </c>
      <c r="J5" s="31">
        <f>$C5*F5+20+100</f>
        <v>1320</v>
      </c>
      <c r="K5" s="31">
        <f>$C5*10+20+100</f>
        <v>620</v>
      </c>
      <c r="L5" s="97" t="s">
        <v>11</v>
      </c>
      <c r="M5" s="97" t="s">
        <v>11</v>
      </c>
      <c r="N5" s="31">
        <v>1030</v>
      </c>
      <c r="O5" s="31">
        <v>1055</v>
      </c>
      <c r="P5" s="31">
        <v>1210</v>
      </c>
      <c r="Q5" s="32">
        <v>1100</v>
      </c>
      <c r="S5" s="20">
        <f>H5-120</f>
        <v>1210</v>
      </c>
      <c r="T5" s="20">
        <f t="shared" ref="T5:T13" si="0">I5-120</f>
        <v>510</v>
      </c>
      <c r="U5" s="20">
        <f>J5-120</f>
        <v>1200</v>
      </c>
      <c r="V5" s="20">
        <f>K5-120</f>
        <v>500</v>
      </c>
      <c r="X5" s="20">
        <f>H5*2</f>
        <v>2660</v>
      </c>
      <c r="Y5" s="20">
        <f>I5*3</f>
        <v>1890</v>
      </c>
      <c r="Z5" s="20">
        <f t="shared" ref="Z5" si="1">J5*2</f>
        <v>2640</v>
      </c>
      <c r="AA5" s="20">
        <f>K5*3</f>
        <v>1860</v>
      </c>
    </row>
    <row r="6" spans="2:27" ht="15.75" customHeight="1" x14ac:dyDescent="0.25">
      <c r="B6" s="33">
        <v>60</v>
      </c>
      <c r="C6" s="34">
        <v>61</v>
      </c>
      <c r="D6" s="35">
        <v>14</v>
      </c>
      <c r="E6" s="36" t="s">
        <v>12</v>
      </c>
      <c r="F6" s="35">
        <v>20</v>
      </c>
      <c r="G6" s="35" t="s">
        <v>15</v>
      </c>
      <c r="H6" s="31">
        <f>(D6*$C6+ROUNDUP(D6/2,0)*40)+20+100</f>
        <v>1254</v>
      </c>
      <c r="I6" s="31">
        <f>7*$C6+ROUNDUP(7/2,0)*40+20+100</f>
        <v>707</v>
      </c>
      <c r="J6" s="31">
        <f>$C6*F6+20+100</f>
        <v>1340</v>
      </c>
      <c r="K6" s="31">
        <f>$C6*10+20+100</f>
        <v>730</v>
      </c>
      <c r="L6" s="98"/>
      <c r="M6" s="98"/>
      <c r="N6" s="31">
        <v>1030</v>
      </c>
      <c r="O6" s="31">
        <v>1055</v>
      </c>
      <c r="P6" s="31">
        <v>1210</v>
      </c>
      <c r="Q6" s="32">
        <v>1100</v>
      </c>
      <c r="S6" s="20">
        <f t="shared" ref="S6:S13" si="2">H6-120</f>
        <v>1134</v>
      </c>
      <c r="T6" s="20">
        <f t="shared" si="0"/>
        <v>587</v>
      </c>
      <c r="U6" s="20">
        <f t="shared" ref="U6:U13" si="3">J6-120</f>
        <v>1220</v>
      </c>
      <c r="V6" s="20">
        <f t="shared" ref="V6:V13" si="4">K6-120</f>
        <v>610</v>
      </c>
      <c r="X6" s="20">
        <f t="shared" ref="X6:X13" si="5">H6*2</f>
        <v>2508</v>
      </c>
      <c r="Y6" s="20">
        <f>I6*3</f>
        <v>2121</v>
      </c>
      <c r="Z6" s="20">
        <f t="shared" ref="Z6:Z13" si="6">J6*2</f>
        <v>2680</v>
      </c>
      <c r="AA6" s="20">
        <f>K6*3</f>
        <v>2190</v>
      </c>
    </row>
    <row r="7" spans="2:27" ht="15.75" customHeight="1" x14ac:dyDescent="0.25">
      <c r="B7" s="33">
        <v>80</v>
      </c>
      <c r="C7" s="34">
        <v>79</v>
      </c>
      <c r="D7" s="35">
        <v>12</v>
      </c>
      <c r="E7" s="36" t="s">
        <v>12</v>
      </c>
      <c r="F7" s="35">
        <v>15</v>
      </c>
      <c r="G7" s="36" t="s">
        <v>71</v>
      </c>
      <c r="H7" s="31">
        <f t="shared" ref="H7:H13" si="7">(D7*$C7+ROUNDUP(D7/2,0)*40)+20+100</f>
        <v>1308</v>
      </c>
      <c r="I7" s="31">
        <f>7*$C7+ROUNDUP(7/2,0)*40+20+100</f>
        <v>833</v>
      </c>
      <c r="J7" s="31">
        <f t="shared" ref="J7:J13" si="8">$C7*F7+20+100</f>
        <v>1305</v>
      </c>
      <c r="K7" s="31">
        <f>$C7*9+20+100</f>
        <v>831</v>
      </c>
      <c r="L7" s="98"/>
      <c r="M7" s="98"/>
      <c r="N7" s="31">
        <v>1030</v>
      </c>
      <c r="O7" s="31">
        <v>1055</v>
      </c>
      <c r="P7" s="31">
        <v>1210</v>
      </c>
      <c r="Q7" s="32">
        <f>Q6</f>
        <v>1100</v>
      </c>
      <c r="S7" s="20">
        <f t="shared" si="2"/>
        <v>1188</v>
      </c>
      <c r="T7" s="20">
        <f t="shared" si="0"/>
        <v>713</v>
      </c>
      <c r="U7" s="20">
        <f t="shared" si="3"/>
        <v>1185</v>
      </c>
      <c r="V7" s="20">
        <f t="shared" si="4"/>
        <v>711</v>
      </c>
      <c r="X7" s="20">
        <f t="shared" si="5"/>
        <v>2616</v>
      </c>
      <c r="Y7" s="20">
        <f t="shared" ref="Y7:Y9" si="9">I7*3</f>
        <v>2499</v>
      </c>
      <c r="Z7" s="20">
        <f>J7*2</f>
        <v>2610</v>
      </c>
      <c r="AA7" s="20">
        <f t="shared" ref="AA7:AA9" si="10">K7*3</f>
        <v>2493</v>
      </c>
    </row>
    <row r="8" spans="2:27" ht="15.75" customHeight="1" x14ac:dyDescent="0.25">
      <c r="B8" s="33">
        <v>100</v>
      </c>
      <c r="C8" s="34">
        <v>97</v>
      </c>
      <c r="D8" s="35">
        <v>10</v>
      </c>
      <c r="E8" s="36" t="s">
        <v>13</v>
      </c>
      <c r="F8" s="35">
        <v>12</v>
      </c>
      <c r="G8" s="36" t="s">
        <v>16</v>
      </c>
      <c r="H8" s="31">
        <f t="shared" si="7"/>
        <v>1290</v>
      </c>
      <c r="I8" s="31">
        <f>6*$C8+ROUNDUP(6/2,0)*40+20+100</f>
        <v>822</v>
      </c>
      <c r="J8" s="31">
        <f t="shared" si="8"/>
        <v>1284</v>
      </c>
      <c r="K8" s="31">
        <f>$C8*8+20+100</f>
        <v>896</v>
      </c>
      <c r="L8" s="98"/>
      <c r="M8" s="98"/>
      <c r="N8" s="31">
        <v>1030</v>
      </c>
      <c r="O8" s="31">
        <v>1055</v>
      </c>
      <c r="P8" s="31">
        <v>1210</v>
      </c>
      <c r="Q8" s="32">
        <f t="shared" ref="Q8:Q13" si="11">Q7</f>
        <v>1100</v>
      </c>
      <c r="S8" s="20">
        <f t="shared" si="2"/>
        <v>1170</v>
      </c>
      <c r="T8" s="20">
        <f t="shared" si="0"/>
        <v>702</v>
      </c>
      <c r="U8" s="20">
        <f t="shared" si="3"/>
        <v>1164</v>
      </c>
      <c r="V8" s="20">
        <f t="shared" si="4"/>
        <v>776</v>
      </c>
      <c r="X8" s="20">
        <f t="shared" si="5"/>
        <v>2580</v>
      </c>
      <c r="Y8" s="20">
        <f t="shared" si="9"/>
        <v>2466</v>
      </c>
      <c r="Z8" s="20">
        <f t="shared" si="6"/>
        <v>2568</v>
      </c>
      <c r="AA8" s="20">
        <f t="shared" si="10"/>
        <v>2688</v>
      </c>
    </row>
    <row r="9" spans="2:27" ht="15.75" customHeight="1" x14ac:dyDescent="0.25">
      <c r="B9" s="33">
        <v>120</v>
      </c>
      <c r="C9" s="34">
        <v>124</v>
      </c>
      <c r="D9" s="35">
        <v>8</v>
      </c>
      <c r="E9" s="35" t="s">
        <v>14</v>
      </c>
      <c r="F9" s="35">
        <v>10</v>
      </c>
      <c r="G9" s="36" t="s">
        <v>13</v>
      </c>
      <c r="H9" s="31">
        <f t="shared" si="7"/>
        <v>1272</v>
      </c>
      <c r="I9" s="31">
        <f>5*$C9+ROUNDUP(5/2,0)*40+20+100</f>
        <v>860</v>
      </c>
      <c r="J9" s="31">
        <f t="shared" si="8"/>
        <v>1360</v>
      </c>
      <c r="K9" s="31">
        <f>$C9*6+20+100</f>
        <v>864</v>
      </c>
      <c r="L9" s="98"/>
      <c r="M9" s="98"/>
      <c r="N9" s="31">
        <v>1030</v>
      </c>
      <c r="O9" s="31">
        <v>1055</v>
      </c>
      <c r="P9" s="31">
        <v>1210</v>
      </c>
      <c r="Q9" s="32">
        <f t="shared" si="11"/>
        <v>1100</v>
      </c>
      <c r="S9" s="20">
        <f t="shared" si="2"/>
        <v>1152</v>
      </c>
      <c r="T9" s="20">
        <f t="shared" si="0"/>
        <v>740</v>
      </c>
      <c r="U9" s="20">
        <f t="shared" si="3"/>
        <v>1240</v>
      </c>
      <c r="V9" s="20">
        <f t="shared" si="4"/>
        <v>744</v>
      </c>
      <c r="X9" s="20">
        <f t="shared" si="5"/>
        <v>2544</v>
      </c>
      <c r="Y9" s="20">
        <f t="shared" si="9"/>
        <v>2580</v>
      </c>
      <c r="Z9" s="20">
        <f t="shared" si="6"/>
        <v>2720</v>
      </c>
      <c r="AA9" s="20">
        <f t="shared" si="10"/>
        <v>2592</v>
      </c>
    </row>
    <row r="10" spans="2:27" ht="15.75" customHeight="1" x14ac:dyDescent="0.25">
      <c r="B10" s="33">
        <v>150</v>
      </c>
      <c r="C10" s="34">
        <v>147</v>
      </c>
      <c r="D10" s="35">
        <v>7</v>
      </c>
      <c r="E10" s="35">
        <v>7</v>
      </c>
      <c r="F10" s="35">
        <v>8</v>
      </c>
      <c r="G10" s="35">
        <v>8</v>
      </c>
      <c r="H10" s="31">
        <f t="shared" si="7"/>
        <v>1309</v>
      </c>
      <c r="I10" s="31">
        <f>E10*C10+ROUNDUP(E10/2,0)*40+20+100</f>
        <v>1309</v>
      </c>
      <c r="J10" s="31">
        <f t="shared" si="8"/>
        <v>1296</v>
      </c>
      <c r="K10" s="31">
        <f>$C10*G10+20+100</f>
        <v>1296</v>
      </c>
      <c r="L10" s="98"/>
      <c r="M10" s="98"/>
      <c r="N10" s="31">
        <v>1030</v>
      </c>
      <c r="O10" s="31">
        <v>1055</v>
      </c>
      <c r="P10" s="31">
        <v>1210</v>
      </c>
      <c r="Q10" s="32">
        <f t="shared" si="11"/>
        <v>1100</v>
      </c>
      <c r="S10" s="20">
        <f t="shared" si="2"/>
        <v>1189</v>
      </c>
      <c r="T10" s="20">
        <f t="shared" si="0"/>
        <v>1189</v>
      </c>
      <c r="U10" s="20">
        <f t="shared" si="3"/>
        <v>1176</v>
      </c>
      <c r="V10" s="20">
        <f t="shared" si="4"/>
        <v>1176</v>
      </c>
      <c r="X10" s="20">
        <f t="shared" si="5"/>
        <v>2618</v>
      </c>
      <c r="Y10" s="20">
        <f t="shared" ref="Y10:Y13" si="12">I10*2</f>
        <v>2618</v>
      </c>
      <c r="Z10" s="20">
        <f t="shared" si="6"/>
        <v>2592</v>
      </c>
      <c r="AA10" s="20">
        <f t="shared" ref="AA10:AA13" si="13">K10*2</f>
        <v>2592</v>
      </c>
    </row>
    <row r="11" spans="2:27" ht="15.75" customHeight="1" x14ac:dyDescent="0.25">
      <c r="B11" s="33">
        <v>180</v>
      </c>
      <c r="C11" s="34">
        <v>177</v>
      </c>
      <c r="D11" s="35">
        <v>6</v>
      </c>
      <c r="E11" s="35">
        <v>6</v>
      </c>
      <c r="F11" s="35">
        <v>7</v>
      </c>
      <c r="G11" s="35">
        <v>7</v>
      </c>
      <c r="H11" s="31">
        <f t="shared" si="7"/>
        <v>1302</v>
      </c>
      <c r="I11" s="31">
        <f t="shared" ref="I11:I13" si="14">E11*C11+ROUNDUP(E11/2,0)*40+20+100</f>
        <v>1302</v>
      </c>
      <c r="J11" s="31">
        <f t="shared" si="8"/>
        <v>1359</v>
      </c>
      <c r="K11" s="31">
        <f t="shared" ref="K11:K13" si="15">$C11*G11+20+100</f>
        <v>1359</v>
      </c>
      <c r="L11" s="98"/>
      <c r="M11" s="98"/>
      <c r="N11" s="31">
        <v>1030</v>
      </c>
      <c r="O11" s="31">
        <v>1055</v>
      </c>
      <c r="P11" s="31">
        <v>1210</v>
      </c>
      <c r="Q11" s="32">
        <f t="shared" si="11"/>
        <v>1100</v>
      </c>
      <c r="S11" s="20">
        <f t="shared" si="2"/>
        <v>1182</v>
      </c>
      <c r="T11" s="20">
        <f t="shared" si="0"/>
        <v>1182</v>
      </c>
      <c r="U11" s="20">
        <f t="shared" si="3"/>
        <v>1239</v>
      </c>
      <c r="V11" s="20">
        <f t="shared" si="4"/>
        <v>1239</v>
      </c>
      <c r="X11" s="20">
        <f t="shared" si="5"/>
        <v>2604</v>
      </c>
      <c r="Y11" s="20">
        <f t="shared" si="12"/>
        <v>2604</v>
      </c>
      <c r="Z11" s="20">
        <f t="shared" si="6"/>
        <v>2718</v>
      </c>
      <c r="AA11" s="20">
        <f t="shared" si="13"/>
        <v>2718</v>
      </c>
    </row>
    <row r="12" spans="2:27" ht="15.75" customHeight="1" x14ac:dyDescent="0.25">
      <c r="B12" s="33">
        <v>200</v>
      </c>
      <c r="C12" s="34">
        <v>197</v>
      </c>
      <c r="D12" s="35">
        <v>5</v>
      </c>
      <c r="E12" s="35">
        <v>5</v>
      </c>
      <c r="F12" s="35">
        <v>6</v>
      </c>
      <c r="G12" s="35">
        <v>6</v>
      </c>
      <c r="H12" s="31">
        <f t="shared" si="7"/>
        <v>1225</v>
      </c>
      <c r="I12" s="31">
        <f t="shared" si="14"/>
        <v>1225</v>
      </c>
      <c r="J12" s="31">
        <f t="shared" si="8"/>
        <v>1302</v>
      </c>
      <c r="K12" s="31">
        <f t="shared" si="15"/>
        <v>1302</v>
      </c>
      <c r="L12" s="98"/>
      <c r="M12" s="98"/>
      <c r="N12" s="31">
        <v>1030</v>
      </c>
      <c r="O12" s="31">
        <v>1055</v>
      </c>
      <c r="P12" s="31">
        <v>1210</v>
      </c>
      <c r="Q12" s="32">
        <f t="shared" si="11"/>
        <v>1100</v>
      </c>
      <c r="S12" s="20">
        <f t="shared" si="2"/>
        <v>1105</v>
      </c>
      <c r="T12" s="20">
        <f t="shared" si="0"/>
        <v>1105</v>
      </c>
      <c r="U12" s="20">
        <f t="shared" si="3"/>
        <v>1182</v>
      </c>
      <c r="V12" s="20">
        <f t="shared" si="4"/>
        <v>1182</v>
      </c>
      <c r="X12" s="20">
        <f t="shared" si="5"/>
        <v>2450</v>
      </c>
      <c r="Y12" s="20">
        <f t="shared" si="12"/>
        <v>2450</v>
      </c>
      <c r="Z12" s="20">
        <f t="shared" si="6"/>
        <v>2604</v>
      </c>
      <c r="AA12" s="20">
        <f t="shared" si="13"/>
        <v>2604</v>
      </c>
    </row>
    <row r="13" spans="2:27" ht="15.75" customHeight="1" thickBot="1" x14ac:dyDescent="0.3">
      <c r="B13" s="37">
        <v>250</v>
      </c>
      <c r="C13" s="38">
        <v>247</v>
      </c>
      <c r="D13" s="39">
        <v>4</v>
      </c>
      <c r="E13" s="39">
        <v>4</v>
      </c>
      <c r="F13" s="39">
        <v>5</v>
      </c>
      <c r="G13" s="39">
        <v>5</v>
      </c>
      <c r="H13" s="31">
        <f t="shared" si="7"/>
        <v>1188</v>
      </c>
      <c r="I13" s="31">
        <f t="shared" si="14"/>
        <v>1188</v>
      </c>
      <c r="J13" s="31">
        <f t="shared" si="8"/>
        <v>1355</v>
      </c>
      <c r="K13" s="31">
        <f t="shared" si="15"/>
        <v>1355</v>
      </c>
      <c r="L13" s="99"/>
      <c r="M13" s="99"/>
      <c r="N13" s="31">
        <v>1030</v>
      </c>
      <c r="O13" s="31">
        <v>1055</v>
      </c>
      <c r="P13" s="31">
        <v>1210</v>
      </c>
      <c r="Q13" s="32">
        <f t="shared" si="11"/>
        <v>1100</v>
      </c>
      <c r="S13" s="20">
        <f t="shared" si="2"/>
        <v>1068</v>
      </c>
      <c r="T13" s="20">
        <f t="shared" si="0"/>
        <v>1068</v>
      </c>
      <c r="U13" s="20">
        <f t="shared" si="3"/>
        <v>1235</v>
      </c>
      <c r="V13" s="20">
        <f t="shared" si="4"/>
        <v>1235</v>
      </c>
      <c r="X13" s="20">
        <f t="shared" si="5"/>
        <v>2376</v>
      </c>
      <c r="Y13" s="20">
        <f t="shared" si="12"/>
        <v>2376</v>
      </c>
      <c r="Z13" s="20">
        <f t="shared" si="6"/>
        <v>2710</v>
      </c>
      <c r="AA13" s="20">
        <f t="shared" si="13"/>
        <v>2710</v>
      </c>
    </row>
    <row r="14" spans="2:27" ht="15.75" customHeight="1" x14ac:dyDescent="0.25">
      <c r="B14" s="40" t="s">
        <v>63</v>
      </c>
      <c r="C14" s="40"/>
      <c r="D14" s="41"/>
      <c r="E14" s="41"/>
      <c r="F14" s="41"/>
      <c r="G14" s="41"/>
    </row>
    <row r="15" spans="2:27" ht="15.75" customHeight="1" thickBot="1" x14ac:dyDescent="0.3"/>
    <row r="16" spans="2:27" ht="15.75" customHeight="1" x14ac:dyDescent="0.25">
      <c r="B16" s="75" t="s">
        <v>2</v>
      </c>
      <c r="C16" s="77" t="s">
        <v>64</v>
      </c>
      <c r="D16" s="83" t="s">
        <v>18</v>
      </c>
      <c r="E16" s="83"/>
      <c r="F16" s="83"/>
      <c r="G16" s="83"/>
      <c r="H16" s="84" t="s">
        <v>3</v>
      </c>
      <c r="I16" s="85"/>
      <c r="J16" s="85"/>
      <c r="K16" s="86"/>
      <c r="L16" s="93" t="s">
        <v>4</v>
      </c>
      <c r="M16" s="93"/>
      <c r="N16" s="84" t="s">
        <v>5</v>
      </c>
      <c r="O16" s="85"/>
      <c r="P16" s="85"/>
      <c r="Q16" s="100"/>
      <c r="S16" s="52" t="s">
        <v>3</v>
      </c>
      <c r="T16" s="53"/>
      <c r="U16" s="53"/>
      <c r="V16" s="66"/>
      <c r="X16" s="52" t="s">
        <v>3</v>
      </c>
      <c r="Y16" s="53"/>
      <c r="Z16" s="53"/>
      <c r="AA16" s="66"/>
    </row>
    <row r="17" spans="2:27" ht="15.75" customHeight="1" x14ac:dyDescent="0.25">
      <c r="B17" s="76"/>
      <c r="C17" s="78"/>
      <c r="D17" s="87" t="s">
        <v>19</v>
      </c>
      <c r="E17" s="87"/>
      <c r="F17" s="87"/>
      <c r="G17" s="87"/>
      <c r="H17" s="88" t="s">
        <v>41</v>
      </c>
      <c r="I17" s="89"/>
      <c r="J17" s="89"/>
      <c r="K17" s="90"/>
      <c r="L17" s="92" t="s">
        <v>43</v>
      </c>
      <c r="M17" s="92"/>
      <c r="N17" s="92" t="s">
        <v>40</v>
      </c>
      <c r="O17" s="92"/>
      <c r="P17" s="92"/>
      <c r="Q17" s="95"/>
      <c r="S17" s="67" t="s">
        <v>69</v>
      </c>
      <c r="T17" s="68"/>
      <c r="U17" s="68"/>
      <c r="V17" s="69"/>
      <c r="X17" s="67" t="s">
        <v>70</v>
      </c>
      <c r="Y17" s="68"/>
      <c r="Z17" s="68"/>
      <c r="AA17" s="69"/>
    </row>
    <row r="18" spans="2:27" ht="15.75" customHeight="1" x14ac:dyDescent="0.25">
      <c r="B18" s="76"/>
      <c r="C18" s="79"/>
      <c r="D18" s="23" t="s">
        <v>31</v>
      </c>
      <c r="E18" s="23" t="s">
        <v>32</v>
      </c>
      <c r="F18" s="24" t="s">
        <v>33</v>
      </c>
      <c r="G18" s="24" t="s">
        <v>34</v>
      </c>
      <c r="H18" s="23" t="s">
        <v>42</v>
      </c>
      <c r="I18" s="23" t="s">
        <v>32</v>
      </c>
      <c r="J18" s="24" t="s">
        <v>33</v>
      </c>
      <c r="K18" s="24" t="s">
        <v>34</v>
      </c>
      <c r="L18" s="4" t="s">
        <v>0</v>
      </c>
      <c r="M18" s="4" t="s">
        <v>1</v>
      </c>
      <c r="N18" s="4" t="s">
        <v>6</v>
      </c>
      <c r="O18" s="4" t="s">
        <v>65</v>
      </c>
      <c r="P18" s="4" t="s">
        <v>7</v>
      </c>
      <c r="Q18" s="6" t="s">
        <v>8</v>
      </c>
      <c r="S18" s="17" t="s">
        <v>42</v>
      </c>
      <c r="T18" s="17" t="s">
        <v>32</v>
      </c>
      <c r="U18" s="16" t="s">
        <v>33</v>
      </c>
      <c r="V18" s="16" t="s">
        <v>34</v>
      </c>
      <c r="X18" s="17" t="s">
        <v>42</v>
      </c>
      <c r="Y18" s="17" t="s">
        <v>32</v>
      </c>
      <c r="Z18" s="16" t="s">
        <v>33</v>
      </c>
      <c r="AA18" s="16" t="s">
        <v>34</v>
      </c>
    </row>
    <row r="19" spans="2:27" ht="15.75" customHeight="1" x14ac:dyDescent="0.25">
      <c r="B19" s="25" t="s">
        <v>68</v>
      </c>
      <c r="C19" s="26">
        <v>50</v>
      </c>
      <c r="D19" s="27">
        <v>17</v>
      </c>
      <c r="E19" s="28" t="s">
        <v>12</v>
      </c>
      <c r="F19" s="29">
        <v>24</v>
      </c>
      <c r="G19" s="30" t="s">
        <v>15</v>
      </c>
      <c r="H19" s="31">
        <f>(D19*$C19+ROUNDUP(D19/2,0)*40)+20+20+100</f>
        <v>1350</v>
      </c>
      <c r="I19" s="31">
        <f>7*$C19+ROUNDUP(7/2,0)*40+20+20+100</f>
        <v>650</v>
      </c>
      <c r="J19" s="31">
        <f>$C19*F19+20+20+100</f>
        <v>1340</v>
      </c>
      <c r="K19" s="31">
        <f>$C19*10+20+20+100</f>
        <v>640</v>
      </c>
      <c r="L19" s="97" t="s">
        <v>21</v>
      </c>
      <c r="M19" s="97" t="s">
        <v>21</v>
      </c>
      <c r="N19" s="31">
        <f>N5+60</f>
        <v>1090</v>
      </c>
      <c r="O19" s="31">
        <f t="shared" ref="O19:Q20" si="16">O5+60</f>
        <v>1115</v>
      </c>
      <c r="P19" s="31">
        <f t="shared" si="16"/>
        <v>1270</v>
      </c>
      <c r="Q19" s="32">
        <f t="shared" si="16"/>
        <v>1160</v>
      </c>
      <c r="S19" s="20">
        <f>H19-140</f>
        <v>1210</v>
      </c>
      <c r="T19" s="20">
        <f t="shared" ref="T19:T27" si="17">I19-140</f>
        <v>510</v>
      </c>
      <c r="U19" s="20">
        <f>J19-140</f>
        <v>1200</v>
      </c>
      <c r="V19" s="20">
        <f t="shared" ref="V19:V27" si="18">K19-140</f>
        <v>500</v>
      </c>
      <c r="X19" s="20">
        <f>H19*2</f>
        <v>2700</v>
      </c>
      <c r="Y19" s="20">
        <f>I19*3</f>
        <v>1950</v>
      </c>
      <c r="Z19" s="20">
        <f t="shared" ref="Z19:Z27" si="19">J19*2</f>
        <v>2680</v>
      </c>
      <c r="AA19" s="20">
        <f>K19*3</f>
        <v>1920</v>
      </c>
    </row>
    <row r="20" spans="2:27" ht="15.75" customHeight="1" x14ac:dyDescent="0.25">
      <c r="B20" s="33">
        <v>60</v>
      </c>
      <c r="C20" s="34">
        <v>61</v>
      </c>
      <c r="D20" s="35">
        <v>14</v>
      </c>
      <c r="E20" s="36" t="s">
        <v>12</v>
      </c>
      <c r="F20" s="35">
        <v>20</v>
      </c>
      <c r="G20" s="35" t="s">
        <v>15</v>
      </c>
      <c r="H20" s="31">
        <f>(D20*$C20+ROUNDUP(D20/2,0)*40)+20+20+100</f>
        <v>1274</v>
      </c>
      <c r="I20" s="31">
        <f>7*$C20+ROUNDUP(7/2,0)*40+20+20+100</f>
        <v>727</v>
      </c>
      <c r="J20" s="31">
        <f>$C20*F20+20+20+100</f>
        <v>1360</v>
      </c>
      <c r="K20" s="31">
        <f>$C20*10+20+20+100</f>
        <v>750</v>
      </c>
      <c r="L20" s="98"/>
      <c r="M20" s="98"/>
      <c r="N20" s="31">
        <f>N6+60</f>
        <v>1090</v>
      </c>
      <c r="O20" s="31">
        <f t="shared" si="16"/>
        <v>1115</v>
      </c>
      <c r="P20" s="31">
        <f t="shared" si="16"/>
        <v>1270</v>
      </c>
      <c r="Q20" s="32">
        <f t="shared" si="16"/>
        <v>1160</v>
      </c>
      <c r="S20" s="20">
        <f t="shared" ref="S20:S27" si="20">H20-140</f>
        <v>1134</v>
      </c>
      <c r="T20" s="20">
        <f t="shared" si="17"/>
        <v>587</v>
      </c>
      <c r="U20" s="20">
        <f t="shared" ref="U20:U27" si="21">J20-140</f>
        <v>1220</v>
      </c>
      <c r="V20" s="20">
        <f t="shared" si="18"/>
        <v>610</v>
      </c>
      <c r="X20" s="20">
        <f t="shared" ref="X20:X27" si="22">H20*2</f>
        <v>2548</v>
      </c>
      <c r="Y20" s="20">
        <f>I20*3</f>
        <v>2181</v>
      </c>
      <c r="Z20" s="20">
        <f t="shared" si="19"/>
        <v>2720</v>
      </c>
      <c r="AA20" s="20">
        <f>K20*3</f>
        <v>2250</v>
      </c>
    </row>
    <row r="21" spans="2:27" ht="15.75" customHeight="1" x14ac:dyDescent="0.25">
      <c r="B21" s="33">
        <v>80</v>
      </c>
      <c r="C21" s="34">
        <v>79</v>
      </c>
      <c r="D21" s="35">
        <v>12</v>
      </c>
      <c r="E21" s="36" t="s">
        <v>12</v>
      </c>
      <c r="F21" s="35">
        <v>15</v>
      </c>
      <c r="G21" s="36" t="s">
        <v>71</v>
      </c>
      <c r="H21" s="31">
        <f t="shared" ref="H21:H27" si="23">(D21*$C21+ROUNDUP(D21/2,0)*40)+20+20+100</f>
        <v>1328</v>
      </c>
      <c r="I21" s="31">
        <f>7*$C21+ROUNDUP(7/2,0)*40+20+20+100</f>
        <v>853</v>
      </c>
      <c r="J21" s="31">
        <f t="shared" ref="J21:J27" si="24">$C21*F21+20+20+100</f>
        <v>1325</v>
      </c>
      <c r="K21" s="31">
        <f>$C21*9+20+20+100</f>
        <v>851</v>
      </c>
      <c r="L21" s="98"/>
      <c r="M21" s="98"/>
      <c r="N21" s="31">
        <f t="shared" ref="N21:Q21" si="25">N7+60</f>
        <v>1090</v>
      </c>
      <c r="O21" s="31">
        <f t="shared" si="25"/>
        <v>1115</v>
      </c>
      <c r="P21" s="31">
        <f t="shared" si="25"/>
        <v>1270</v>
      </c>
      <c r="Q21" s="32">
        <f t="shared" si="25"/>
        <v>1160</v>
      </c>
      <c r="S21" s="20">
        <f t="shared" si="20"/>
        <v>1188</v>
      </c>
      <c r="T21" s="20">
        <f t="shared" si="17"/>
        <v>713</v>
      </c>
      <c r="U21" s="20">
        <f t="shared" si="21"/>
        <v>1185</v>
      </c>
      <c r="V21" s="20">
        <f t="shared" si="18"/>
        <v>711</v>
      </c>
      <c r="X21" s="20">
        <f t="shared" si="22"/>
        <v>2656</v>
      </c>
      <c r="Y21" s="20">
        <f t="shared" ref="Y21:Y23" si="26">I21*3</f>
        <v>2559</v>
      </c>
      <c r="Z21" s="20">
        <f t="shared" si="19"/>
        <v>2650</v>
      </c>
      <c r="AA21" s="20">
        <f t="shared" ref="AA21:AA23" si="27">K21*3</f>
        <v>2553</v>
      </c>
    </row>
    <row r="22" spans="2:27" ht="15.75" customHeight="1" x14ac:dyDescent="0.25">
      <c r="B22" s="33">
        <v>100</v>
      </c>
      <c r="C22" s="34">
        <v>97</v>
      </c>
      <c r="D22" s="35">
        <v>10</v>
      </c>
      <c r="E22" s="35" t="s">
        <v>13</v>
      </c>
      <c r="F22" s="35">
        <v>12</v>
      </c>
      <c r="G22" s="36" t="s">
        <v>16</v>
      </c>
      <c r="H22" s="31">
        <f t="shared" si="23"/>
        <v>1310</v>
      </c>
      <c r="I22" s="31">
        <f>6*$C22+ROUNDUP(5/2,0)*40+20+20+100</f>
        <v>842</v>
      </c>
      <c r="J22" s="31">
        <f t="shared" si="24"/>
        <v>1304</v>
      </c>
      <c r="K22" s="31">
        <f>$C22*8+20+20+100</f>
        <v>916</v>
      </c>
      <c r="L22" s="98"/>
      <c r="M22" s="98"/>
      <c r="N22" s="31">
        <f t="shared" ref="N22:Q22" si="28">N8+60</f>
        <v>1090</v>
      </c>
      <c r="O22" s="31">
        <f t="shared" si="28"/>
        <v>1115</v>
      </c>
      <c r="P22" s="31">
        <f t="shared" si="28"/>
        <v>1270</v>
      </c>
      <c r="Q22" s="32">
        <f t="shared" si="28"/>
        <v>1160</v>
      </c>
      <c r="S22" s="20">
        <f t="shared" si="20"/>
        <v>1170</v>
      </c>
      <c r="T22" s="20">
        <f t="shared" si="17"/>
        <v>702</v>
      </c>
      <c r="U22" s="20">
        <f t="shared" si="21"/>
        <v>1164</v>
      </c>
      <c r="V22" s="20">
        <f t="shared" si="18"/>
        <v>776</v>
      </c>
      <c r="X22" s="20">
        <f t="shared" si="22"/>
        <v>2620</v>
      </c>
      <c r="Y22" s="20">
        <f t="shared" si="26"/>
        <v>2526</v>
      </c>
      <c r="Z22" s="20">
        <f t="shared" si="19"/>
        <v>2608</v>
      </c>
      <c r="AA22" s="20">
        <f t="shared" si="27"/>
        <v>2748</v>
      </c>
    </row>
    <row r="23" spans="2:27" ht="15.75" customHeight="1" x14ac:dyDescent="0.25">
      <c r="B23" s="33">
        <v>120</v>
      </c>
      <c r="C23" s="34">
        <v>124</v>
      </c>
      <c r="D23" s="35">
        <v>8</v>
      </c>
      <c r="E23" s="42" t="s">
        <v>14</v>
      </c>
      <c r="F23" s="35">
        <v>10</v>
      </c>
      <c r="G23" s="36" t="s">
        <v>13</v>
      </c>
      <c r="H23" s="31">
        <f t="shared" si="23"/>
        <v>1292</v>
      </c>
      <c r="I23" s="31">
        <f>5*$C23+ROUNDUP(5/2,0)*40+20+20+100</f>
        <v>880</v>
      </c>
      <c r="J23" s="31">
        <f t="shared" si="24"/>
        <v>1380</v>
      </c>
      <c r="K23" s="31">
        <f>$C23*6+20+20+100</f>
        <v>884</v>
      </c>
      <c r="L23" s="98"/>
      <c r="M23" s="98"/>
      <c r="N23" s="31">
        <f t="shared" ref="N23:Q23" si="29">N9+60</f>
        <v>1090</v>
      </c>
      <c r="O23" s="31">
        <f t="shared" si="29"/>
        <v>1115</v>
      </c>
      <c r="P23" s="31">
        <f t="shared" si="29"/>
        <v>1270</v>
      </c>
      <c r="Q23" s="32">
        <f t="shared" si="29"/>
        <v>1160</v>
      </c>
      <c r="S23" s="20">
        <f t="shared" si="20"/>
        <v>1152</v>
      </c>
      <c r="T23" s="20">
        <f t="shared" si="17"/>
        <v>740</v>
      </c>
      <c r="U23" s="20">
        <f t="shared" si="21"/>
        <v>1240</v>
      </c>
      <c r="V23" s="20">
        <f t="shared" si="18"/>
        <v>744</v>
      </c>
      <c r="X23" s="20">
        <f t="shared" si="22"/>
        <v>2584</v>
      </c>
      <c r="Y23" s="20">
        <f t="shared" si="26"/>
        <v>2640</v>
      </c>
      <c r="Z23" s="20">
        <f t="shared" si="19"/>
        <v>2760</v>
      </c>
      <c r="AA23" s="20">
        <f t="shared" si="27"/>
        <v>2652</v>
      </c>
    </row>
    <row r="24" spans="2:27" ht="15.75" customHeight="1" x14ac:dyDescent="0.25">
      <c r="B24" s="33">
        <v>150</v>
      </c>
      <c r="C24" s="34">
        <v>147</v>
      </c>
      <c r="D24" s="35">
        <v>7</v>
      </c>
      <c r="E24" s="35">
        <v>7</v>
      </c>
      <c r="F24" s="35">
        <v>8</v>
      </c>
      <c r="G24" s="35">
        <v>8</v>
      </c>
      <c r="H24" s="31">
        <f>(D24*$C24+ROUNDUP(D24/2,0)*40)+20+20+20+100</f>
        <v>1349</v>
      </c>
      <c r="I24" s="31">
        <f>E24*C24+ROUNDUP(E24/2,0)*40+20+20+20+100</f>
        <v>1349</v>
      </c>
      <c r="J24" s="31">
        <f>$C24*F24+20+20+20+100</f>
        <v>1336</v>
      </c>
      <c r="K24" s="31">
        <f>$C24*G24+20+20+20+100</f>
        <v>1336</v>
      </c>
      <c r="L24" s="98"/>
      <c r="M24" s="98"/>
      <c r="N24" s="31">
        <f t="shared" ref="N24:Q24" si="30">N10+60</f>
        <v>1090</v>
      </c>
      <c r="O24" s="31">
        <f t="shared" si="30"/>
        <v>1115</v>
      </c>
      <c r="P24" s="31">
        <f t="shared" si="30"/>
        <v>1270</v>
      </c>
      <c r="Q24" s="32">
        <f t="shared" si="30"/>
        <v>1160</v>
      </c>
      <c r="S24" s="20">
        <f t="shared" si="20"/>
        <v>1209</v>
      </c>
      <c r="T24" s="20">
        <f t="shared" si="17"/>
        <v>1209</v>
      </c>
      <c r="U24" s="20">
        <f t="shared" si="21"/>
        <v>1196</v>
      </c>
      <c r="V24" s="20">
        <f t="shared" si="18"/>
        <v>1196</v>
      </c>
      <c r="X24" s="20">
        <f t="shared" si="22"/>
        <v>2698</v>
      </c>
      <c r="Y24" s="20">
        <f t="shared" ref="Y24:Y27" si="31">I24*2</f>
        <v>2698</v>
      </c>
      <c r="Z24" s="20">
        <f t="shared" si="19"/>
        <v>2672</v>
      </c>
      <c r="AA24" s="20">
        <f t="shared" ref="AA24:AA27" si="32">K24*2</f>
        <v>2672</v>
      </c>
    </row>
    <row r="25" spans="2:27" ht="15.75" customHeight="1" x14ac:dyDescent="0.25">
      <c r="B25" s="33">
        <v>180</v>
      </c>
      <c r="C25" s="34">
        <v>177</v>
      </c>
      <c r="D25" s="35">
        <v>6</v>
      </c>
      <c r="E25" s="35">
        <v>6</v>
      </c>
      <c r="F25" s="35">
        <v>7</v>
      </c>
      <c r="G25" s="35">
        <v>7</v>
      </c>
      <c r="H25" s="31">
        <f t="shared" si="23"/>
        <v>1322</v>
      </c>
      <c r="I25" s="31">
        <f t="shared" ref="I25:I27" si="33">E25*C25+ROUNDUP(E25/2,0)*40+20+20+100</f>
        <v>1322</v>
      </c>
      <c r="J25" s="31">
        <f t="shared" si="24"/>
        <v>1379</v>
      </c>
      <c r="K25" s="31">
        <f t="shared" ref="K25:K27" si="34">$C25*G25+20+20+100</f>
        <v>1379</v>
      </c>
      <c r="L25" s="98"/>
      <c r="M25" s="98"/>
      <c r="N25" s="31">
        <f t="shared" ref="N25:Q25" si="35">N11+60</f>
        <v>1090</v>
      </c>
      <c r="O25" s="31">
        <f t="shared" si="35"/>
        <v>1115</v>
      </c>
      <c r="P25" s="31">
        <f t="shared" si="35"/>
        <v>1270</v>
      </c>
      <c r="Q25" s="32">
        <f t="shared" si="35"/>
        <v>1160</v>
      </c>
      <c r="S25" s="20">
        <f t="shared" si="20"/>
        <v>1182</v>
      </c>
      <c r="T25" s="20">
        <f t="shared" si="17"/>
        <v>1182</v>
      </c>
      <c r="U25" s="20">
        <f t="shared" si="21"/>
        <v>1239</v>
      </c>
      <c r="V25" s="20">
        <f t="shared" si="18"/>
        <v>1239</v>
      </c>
      <c r="X25" s="20">
        <f t="shared" si="22"/>
        <v>2644</v>
      </c>
      <c r="Y25" s="20">
        <f t="shared" si="31"/>
        <v>2644</v>
      </c>
      <c r="Z25" s="20">
        <f t="shared" si="19"/>
        <v>2758</v>
      </c>
      <c r="AA25" s="20">
        <f t="shared" si="32"/>
        <v>2758</v>
      </c>
    </row>
    <row r="26" spans="2:27" ht="15.75" customHeight="1" x14ac:dyDescent="0.25">
      <c r="B26" s="33">
        <v>200</v>
      </c>
      <c r="C26" s="34">
        <v>197</v>
      </c>
      <c r="D26" s="35">
        <v>5</v>
      </c>
      <c r="E26" s="35">
        <v>5</v>
      </c>
      <c r="F26" s="35">
        <v>6</v>
      </c>
      <c r="G26" s="35">
        <v>6</v>
      </c>
      <c r="H26" s="31">
        <f>(D26*$C26+ROUNDUP(D26/2,0)*40)+20+20+20+100</f>
        <v>1265</v>
      </c>
      <c r="I26" s="31">
        <f>E26*C26+ROUNDUP(E26/2,0)*40+20+20+20+100</f>
        <v>1265</v>
      </c>
      <c r="J26" s="31">
        <f>$C26*F26+20+20+20+100</f>
        <v>1342</v>
      </c>
      <c r="K26" s="31">
        <f>$C26*G26+20+20+20+100</f>
        <v>1342</v>
      </c>
      <c r="L26" s="98"/>
      <c r="M26" s="98"/>
      <c r="N26" s="31">
        <f t="shared" ref="N26:Q26" si="36">N12+60</f>
        <v>1090</v>
      </c>
      <c r="O26" s="31">
        <f t="shared" si="36"/>
        <v>1115</v>
      </c>
      <c r="P26" s="31">
        <f t="shared" si="36"/>
        <v>1270</v>
      </c>
      <c r="Q26" s="32">
        <f t="shared" si="36"/>
        <v>1160</v>
      </c>
      <c r="S26" s="20">
        <f t="shared" si="20"/>
        <v>1125</v>
      </c>
      <c r="T26" s="20">
        <f t="shared" si="17"/>
        <v>1125</v>
      </c>
      <c r="U26" s="20">
        <f t="shared" si="21"/>
        <v>1202</v>
      </c>
      <c r="V26" s="20">
        <f t="shared" si="18"/>
        <v>1202</v>
      </c>
      <c r="X26" s="20">
        <f t="shared" si="22"/>
        <v>2530</v>
      </c>
      <c r="Y26" s="20">
        <f t="shared" si="31"/>
        <v>2530</v>
      </c>
      <c r="Z26" s="20">
        <f t="shared" si="19"/>
        <v>2684</v>
      </c>
      <c r="AA26" s="20">
        <f t="shared" si="32"/>
        <v>2684</v>
      </c>
    </row>
    <row r="27" spans="2:27" ht="15.75" customHeight="1" thickBot="1" x14ac:dyDescent="0.3">
      <c r="B27" s="37">
        <v>250</v>
      </c>
      <c r="C27" s="38">
        <v>247</v>
      </c>
      <c r="D27" s="39">
        <v>4</v>
      </c>
      <c r="E27" s="39">
        <v>4</v>
      </c>
      <c r="F27" s="39">
        <v>5</v>
      </c>
      <c r="G27" s="39">
        <v>5</v>
      </c>
      <c r="H27" s="43">
        <f t="shared" si="23"/>
        <v>1208</v>
      </c>
      <c r="I27" s="43">
        <f t="shared" si="33"/>
        <v>1208</v>
      </c>
      <c r="J27" s="43">
        <f t="shared" si="24"/>
        <v>1375</v>
      </c>
      <c r="K27" s="43">
        <f t="shared" si="34"/>
        <v>1375</v>
      </c>
      <c r="L27" s="99"/>
      <c r="M27" s="99"/>
      <c r="N27" s="43">
        <f t="shared" ref="N27:Q27" si="37">N13+60</f>
        <v>1090</v>
      </c>
      <c r="O27" s="43">
        <f t="shared" si="37"/>
        <v>1115</v>
      </c>
      <c r="P27" s="43">
        <f t="shared" si="37"/>
        <v>1270</v>
      </c>
      <c r="Q27" s="44">
        <f t="shared" si="37"/>
        <v>1160</v>
      </c>
      <c r="S27" s="20">
        <f t="shared" si="20"/>
        <v>1068</v>
      </c>
      <c r="T27" s="20">
        <f t="shared" si="17"/>
        <v>1068</v>
      </c>
      <c r="U27" s="20">
        <f t="shared" si="21"/>
        <v>1235</v>
      </c>
      <c r="V27" s="20">
        <f t="shared" si="18"/>
        <v>1235</v>
      </c>
      <c r="X27" s="20">
        <f t="shared" si="22"/>
        <v>2416</v>
      </c>
      <c r="Y27" s="20">
        <f t="shared" si="31"/>
        <v>2416</v>
      </c>
      <c r="Z27" s="20">
        <f t="shared" si="19"/>
        <v>2750</v>
      </c>
      <c r="AA27" s="20">
        <f t="shared" si="32"/>
        <v>2750</v>
      </c>
    </row>
    <row r="28" spans="2:27" ht="15.75" customHeight="1" x14ac:dyDescent="0.25">
      <c r="B28" s="40" t="s">
        <v>67</v>
      </c>
      <c r="C28" s="40"/>
      <c r="D28" s="41"/>
      <c r="E28" s="41"/>
    </row>
    <row r="29" spans="2:27" ht="15.75" customHeight="1" thickBot="1" x14ac:dyDescent="0.3"/>
    <row r="30" spans="2:27" ht="15.75" customHeight="1" x14ac:dyDescent="0.25">
      <c r="B30" s="75" t="s">
        <v>2</v>
      </c>
      <c r="C30" s="77" t="s">
        <v>64</v>
      </c>
      <c r="D30" s="83" t="s">
        <v>18</v>
      </c>
      <c r="E30" s="83"/>
      <c r="F30" s="83"/>
      <c r="G30" s="83"/>
      <c r="H30" s="84" t="s">
        <v>3</v>
      </c>
      <c r="I30" s="85"/>
      <c r="J30" s="85"/>
      <c r="K30" s="86"/>
      <c r="L30" s="93" t="s">
        <v>4</v>
      </c>
      <c r="M30" s="93"/>
      <c r="N30" s="93" t="s">
        <v>5</v>
      </c>
      <c r="O30" s="93"/>
      <c r="P30" s="93"/>
      <c r="Q30" s="94"/>
      <c r="S30" s="52" t="s">
        <v>3</v>
      </c>
      <c r="T30" s="53"/>
      <c r="U30" s="53"/>
      <c r="V30" s="66"/>
      <c r="X30" s="52" t="s">
        <v>3</v>
      </c>
      <c r="Y30" s="53"/>
      <c r="Z30" s="53"/>
      <c r="AA30" s="66"/>
    </row>
    <row r="31" spans="2:27" ht="15.75" customHeight="1" x14ac:dyDescent="0.25">
      <c r="B31" s="76"/>
      <c r="C31" s="78"/>
      <c r="D31" s="87" t="s">
        <v>24</v>
      </c>
      <c r="E31" s="87"/>
      <c r="F31" s="87"/>
      <c r="G31" s="87"/>
      <c r="H31" s="88" t="s">
        <v>41</v>
      </c>
      <c r="I31" s="89"/>
      <c r="J31" s="89"/>
      <c r="K31" s="90"/>
      <c r="L31" s="92" t="s">
        <v>43</v>
      </c>
      <c r="M31" s="92"/>
      <c r="N31" s="92" t="s">
        <v>40</v>
      </c>
      <c r="O31" s="92"/>
      <c r="P31" s="92"/>
      <c r="Q31" s="95"/>
      <c r="S31" s="67" t="s">
        <v>69</v>
      </c>
      <c r="T31" s="68"/>
      <c r="U31" s="68"/>
      <c r="V31" s="69"/>
      <c r="X31" s="67" t="s">
        <v>70</v>
      </c>
      <c r="Y31" s="68"/>
      <c r="Z31" s="68"/>
      <c r="AA31" s="69"/>
    </row>
    <row r="32" spans="2:27" ht="15.75" customHeight="1" x14ac:dyDescent="0.25">
      <c r="B32" s="76"/>
      <c r="C32" s="79"/>
      <c r="D32" s="23" t="s">
        <v>31</v>
      </c>
      <c r="E32" s="23" t="s">
        <v>32</v>
      </c>
      <c r="F32" s="24" t="s">
        <v>33</v>
      </c>
      <c r="G32" s="24" t="s">
        <v>34</v>
      </c>
      <c r="H32" s="23" t="s">
        <v>42</v>
      </c>
      <c r="I32" s="23" t="s">
        <v>32</v>
      </c>
      <c r="J32" s="24" t="s">
        <v>33</v>
      </c>
      <c r="K32" s="24" t="s">
        <v>34</v>
      </c>
      <c r="L32" s="4" t="s">
        <v>0</v>
      </c>
      <c r="M32" s="4" t="s">
        <v>1</v>
      </c>
      <c r="N32" s="4" t="s">
        <v>6</v>
      </c>
      <c r="O32" s="4" t="s">
        <v>65</v>
      </c>
      <c r="P32" s="4" t="s">
        <v>7</v>
      </c>
      <c r="Q32" s="6" t="s">
        <v>8</v>
      </c>
      <c r="S32" s="17" t="s">
        <v>42</v>
      </c>
      <c r="T32" s="17" t="s">
        <v>32</v>
      </c>
      <c r="U32" s="16" t="s">
        <v>33</v>
      </c>
      <c r="V32" s="16" t="s">
        <v>34</v>
      </c>
      <c r="X32" s="17" t="s">
        <v>42</v>
      </c>
      <c r="Y32" s="17" t="s">
        <v>32</v>
      </c>
      <c r="Z32" s="16" t="s">
        <v>33</v>
      </c>
      <c r="AA32" s="16" t="s">
        <v>34</v>
      </c>
    </row>
    <row r="33" spans="2:27" ht="15.75" customHeight="1" x14ac:dyDescent="0.25">
      <c r="B33" s="25" t="s">
        <v>68</v>
      </c>
      <c r="C33" s="26">
        <v>50</v>
      </c>
      <c r="D33" s="27">
        <v>16</v>
      </c>
      <c r="E33" s="28" t="s">
        <v>12</v>
      </c>
      <c r="F33" s="29">
        <v>23</v>
      </c>
      <c r="G33" s="30" t="s">
        <v>15</v>
      </c>
      <c r="H33" s="5">
        <f>D33*$C33+ROUNDUP(D33/2,0)*40+220</f>
        <v>1340</v>
      </c>
      <c r="I33" s="5">
        <f>7*$C33+ROUNDUP(7/2,0)*40+220</f>
        <v>730</v>
      </c>
      <c r="J33" s="5">
        <f>$C33*F33+220</f>
        <v>1370</v>
      </c>
      <c r="K33" s="5">
        <f>$C33*10+220</f>
        <v>720</v>
      </c>
      <c r="L33" s="80" t="s">
        <v>29</v>
      </c>
      <c r="M33" s="80" t="s">
        <v>29</v>
      </c>
      <c r="N33" s="5">
        <f>N19+40</f>
        <v>1130</v>
      </c>
      <c r="O33" s="5">
        <f t="shared" ref="O33:Q34" si="38">O19+40</f>
        <v>1155</v>
      </c>
      <c r="P33" s="5">
        <f t="shared" si="38"/>
        <v>1310</v>
      </c>
      <c r="Q33" s="8">
        <f t="shared" si="38"/>
        <v>1200</v>
      </c>
      <c r="S33" s="20">
        <f>H33-220</f>
        <v>1120</v>
      </c>
      <c r="T33" s="20">
        <f t="shared" ref="T33:T41" si="39">I33-220</f>
        <v>510</v>
      </c>
      <c r="U33" s="20">
        <f t="shared" ref="U33:U41" si="40">J33-220</f>
        <v>1150</v>
      </c>
      <c r="V33" s="20">
        <f t="shared" ref="V33:V41" si="41">K33-220</f>
        <v>500</v>
      </c>
      <c r="X33" s="20">
        <f>H33*2</f>
        <v>2680</v>
      </c>
      <c r="Y33" s="20">
        <f>I33*3</f>
        <v>2190</v>
      </c>
      <c r="Z33" s="20">
        <f t="shared" ref="Z33:Z41" si="42">J33*2</f>
        <v>2740</v>
      </c>
      <c r="AA33" s="20">
        <f>K33*3</f>
        <v>2160</v>
      </c>
    </row>
    <row r="34" spans="2:27" ht="15.75" customHeight="1" x14ac:dyDescent="0.25">
      <c r="B34" s="45">
        <v>60</v>
      </c>
      <c r="C34" s="46">
        <v>61</v>
      </c>
      <c r="D34" s="47">
        <v>14</v>
      </c>
      <c r="E34" s="36" t="s">
        <v>12</v>
      </c>
      <c r="F34" s="47">
        <v>19</v>
      </c>
      <c r="G34" s="35" t="s">
        <v>15</v>
      </c>
      <c r="H34" s="5">
        <f>D34*$C34+ROUNDUP(D34/2,0)*40+220</f>
        <v>1354</v>
      </c>
      <c r="I34" s="5">
        <f>7*$C34+ROUNDUP(7/2,0)*40+220</f>
        <v>807</v>
      </c>
      <c r="J34" s="5">
        <f>$C34*F34+220</f>
        <v>1379</v>
      </c>
      <c r="K34" s="5">
        <f>$C34*10+220</f>
        <v>830</v>
      </c>
      <c r="L34" s="81"/>
      <c r="M34" s="81"/>
      <c r="N34" s="5">
        <f>N20+40</f>
        <v>1130</v>
      </c>
      <c r="O34" s="5">
        <f t="shared" si="38"/>
        <v>1155</v>
      </c>
      <c r="P34" s="5">
        <f t="shared" si="38"/>
        <v>1310</v>
      </c>
      <c r="Q34" s="8">
        <f t="shared" si="38"/>
        <v>1200</v>
      </c>
      <c r="S34" s="20">
        <f t="shared" ref="S34:S41" si="43">H34-220</f>
        <v>1134</v>
      </c>
      <c r="T34" s="20">
        <f t="shared" si="39"/>
        <v>587</v>
      </c>
      <c r="U34" s="20">
        <f t="shared" si="40"/>
        <v>1159</v>
      </c>
      <c r="V34" s="20">
        <f t="shared" si="41"/>
        <v>610</v>
      </c>
      <c r="X34" s="20">
        <f t="shared" ref="X34:X41" si="44">H34*2</f>
        <v>2708</v>
      </c>
      <c r="Y34" s="20">
        <f>I34*3</f>
        <v>2421</v>
      </c>
      <c r="Z34" s="20">
        <f t="shared" si="42"/>
        <v>2758</v>
      </c>
      <c r="AA34" s="20">
        <f>K34*3</f>
        <v>2490</v>
      </c>
    </row>
    <row r="35" spans="2:27" ht="15.75" customHeight="1" x14ac:dyDescent="0.25">
      <c r="B35" s="45">
        <v>80</v>
      </c>
      <c r="C35" s="46">
        <v>79</v>
      </c>
      <c r="D35" s="47">
        <v>12</v>
      </c>
      <c r="E35" s="36" t="s">
        <v>12</v>
      </c>
      <c r="F35" s="47">
        <v>15</v>
      </c>
      <c r="G35" s="36" t="s">
        <v>71</v>
      </c>
      <c r="H35" s="5">
        <f t="shared" ref="H35:H41" si="45">D35*$C35+ROUNDUP(D35/2,0)*40+220</f>
        <v>1408</v>
      </c>
      <c r="I35" s="5">
        <f>7*$C35+ROUNDUP(7/2,0)*40+220</f>
        <v>933</v>
      </c>
      <c r="J35" s="5">
        <f>$C35*F35+220</f>
        <v>1405</v>
      </c>
      <c r="K35" s="5">
        <f>$C35*9+220</f>
        <v>931</v>
      </c>
      <c r="L35" s="81"/>
      <c r="M35" s="81"/>
      <c r="N35" s="5">
        <f t="shared" ref="N35:Q35" si="46">N21+40</f>
        <v>1130</v>
      </c>
      <c r="O35" s="5">
        <f t="shared" si="46"/>
        <v>1155</v>
      </c>
      <c r="P35" s="5">
        <f t="shared" si="46"/>
        <v>1310</v>
      </c>
      <c r="Q35" s="8">
        <f t="shared" si="46"/>
        <v>1200</v>
      </c>
      <c r="S35" s="20">
        <f t="shared" si="43"/>
        <v>1188</v>
      </c>
      <c r="T35" s="20">
        <f t="shared" si="39"/>
        <v>713</v>
      </c>
      <c r="U35" s="20">
        <f t="shared" si="40"/>
        <v>1185</v>
      </c>
      <c r="V35" s="20">
        <f t="shared" si="41"/>
        <v>711</v>
      </c>
      <c r="X35" s="20">
        <f t="shared" si="44"/>
        <v>2816</v>
      </c>
      <c r="Y35" s="20">
        <f t="shared" ref="Y35:Y37" si="47">I35*3</f>
        <v>2799</v>
      </c>
      <c r="Z35" s="20">
        <f t="shared" si="42"/>
        <v>2810</v>
      </c>
      <c r="AA35" s="20">
        <f t="shared" ref="AA35:AA37" si="48">K35*3</f>
        <v>2793</v>
      </c>
    </row>
    <row r="36" spans="2:27" ht="15.75" customHeight="1" x14ac:dyDescent="0.25">
      <c r="B36" s="45">
        <v>100</v>
      </c>
      <c r="C36" s="46">
        <v>97</v>
      </c>
      <c r="D36" s="47">
        <v>10</v>
      </c>
      <c r="E36" s="35" t="s">
        <v>13</v>
      </c>
      <c r="F36" s="47">
        <v>12</v>
      </c>
      <c r="G36" s="36" t="s">
        <v>12</v>
      </c>
      <c r="H36" s="5">
        <f t="shared" si="45"/>
        <v>1390</v>
      </c>
      <c r="I36" s="5">
        <f>6*$C36+ROUNDUP(6/2,0)*40+220</f>
        <v>922</v>
      </c>
      <c r="J36" s="5">
        <f t="shared" ref="J36:J41" si="49">$C36*F36+220</f>
        <v>1384</v>
      </c>
      <c r="K36" s="5">
        <f>$C36*7+220</f>
        <v>899</v>
      </c>
      <c r="L36" s="81"/>
      <c r="M36" s="81"/>
      <c r="N36" s="5">
        <f t="shared" ref="N36:Q36" si="50">N22+40</f>
        <v>1130</v>
      </c>
      <c r="O36" s="5">
        <f t="shared" si="50"/>
        <v>1155</v>
      </c>
      <c r="P36" s="5">
        <f t="shared" si="50"/>
        <v>1310</v>
      </c>
      <c r="Q36" s="8">
        <f t="shared" si="50"/>
        <v>1200</v>
      </c>
      <c r="S36" s="20">
        <f t="shared" si="43"/>
        <v>1170</v>
      </c>
      <c r="T36" s="20">
        <f t="shared" si="39"/>
        <v>702</v>
      </c>
      <c r="U36" s="20">
        <f t="shared" si="40"/>
        <v>1164</v>
      </c>
      <c r="V36" s="20">
        <f t="shared" si="41"/>
        <v>679</v>
      </c>
      <c r="X36" s="20">
        <f t="shared" si="44"/>
        <v>2780</v>
      </c>
      <c r="Y36" s="20">
        <f t="shared" si="47"/>
        <v>2766</v>
      </c>
      <c r="Z36" s="20">
        <f t="shared" si="42"/>
        <v>2768</v>
      </c>
      <c r="AA36" s="20">
        <f t="shared" si="48"/>
        <v>2697</v>
      </c>
    </row>
    <row r="37" spans="2:27" ht="15.75" customHeight="1" x14ac:dyDescent="0.25">
      <c r="B37" s="45">
        <v>120</v>
      </c>
      <c r="C37" s="46">
        <v>124</v>
      </c>
      <c r="D37" s="47">
        <v>8</v>
      </c>
      <c r="E37" s="36" t="s">
        <v>62</v>
      </c>
      <c r="F37" s="47">
        <v>9</v>
      </c>
      <c r="G37" s="36" t="s">
        <v>14</v>
      </c>
      <c r="H37" s="5">
        <f t="shared" si="45"/>
        <v>1372</v>
      </c>
      <c r="I37" s="5">
        <f>4*$C37+ROUNDUP(4/2,0)*40+220</f>
        <v>796</v>
      </c>
      <c r="J37" s="5">
        <f t="shared" si="49"/>
        <v>1336</v>
      </c>
      <c r="K37" s="5">
        <f>$C37*5+220</f>
        <v>840</v>
      </c>
      <c r="L37" s="81"/>
      <c r="M37" s="81"/>
      <c r="N37" s="5">
        <f t="shared" ref="N37:Q37" si="51">N23+40</f>
        <v>1130</v>
      </c>
      <c r="O37" s="5">
        <f t="shared" si="51"/>
        <v>1155</v>
      </c>
      <c r="P37" s="5">
        <f t="shared" si="51"/>
        <v>1310</v>
      </c>
      <c r="Q37" s="8">
        <f t="shared" si="51"/>
        <v>1200</v>
      </c>
      <c r="S37" s="20">
        <f t="shared" si="43"/>
        <v>1152</v>
      </c>
      <c r="T37" s="20">
        <f t="shared" si="39"/>
        <v>576</v>
      </c>
      <c r="U37" s="20">
        <f t="shared" si="40"/>
        <v>1116</v>
      </c>
      <c r="V37" s="20">
        <f t="shared" si="41"/>
        <v>620</v>
      </c>
      <c r="X37" s="20">
        <f t="shared" si="44"/>
        <v>2744</v>
      </c>
      <c r="Y37" s="20">
        <f t="shared" si="47"/>
        <v>2388</v>
      </c>
      <c r="Z37" s="20">
        <f t="shared" si="42"/>
        <v>2672</v>
      </c>
      <c r="AA37" s="20">
        <f t="shared" si="48"/>
        <v>2520</v>
      </c>
    </row>
    <row r="38" spans="2:27" ht="15.75" customHeight="1" x14ac:dyDescent="0.25">
      <c r="B38" s="45">
        <v>150</v>
      </c>
      <c r="C38" s="46">
        <v>147</v>
      </c>
      <c r="D38" s="47">
        <v>7</v>
      </c>
      <c r="E38" s="47">
        <v>7</v>
      </c>
      <c r="F38" s="47">
        <v>8</v>
      </c>
      <c r="G38" s="47">
        <v>8</v>
      </c>
      <c r="H38" s="5">
        <f t="shared" si="45"/>
        <v>1409</v>
      </c>
      <c r="I38" s="5">
        <f>E38*C38+ROUNDUP(E38/2,0)*40+220</f>
        <v>1409</v>
      </c>
      <c r="J38" s="5">
        <f t="shared" si="49"/>
        <v>1396</v>
      </c>
      <c r="K38" s="5">
        <f>$C38*G38+220</f>
        <v>1396</v>
      </c>
      <c r="L38" s="81"/>
      <c r="M38" s="81"/>
      <c r="N38" s="5">
        <f t="shared" ref="N38:Q38" si="52">N24+40</f>
        <v>1130</v>
      </c>
      <c r="O38" s="5">
        <f t="shared" si="52"/>
        <v>1155</v>
      </c>
      <c r="P38" s="5">
        <f t="shared" si="52"/>
        <v>1310</v>
      </c>
      <c r="Q38" s="8">
        <f t="shared" si="52"/>
        <v>1200</v>
      </c>
      <c r="S38" s="20">
        <f t="shared" si="43"/>
        <v>1189</v>
      </c>
      <c r="T38" s="20">
        <f t="shared" si="39"/>
        <v>1189</v>
      </c>
      <c r="U38" s="20">
        <f t="shared" si="40"/>
        <v>1176</v>
      </c>
      <c r="V38" s="20">
        <f t="shared" si="41"/>
        <v>1176</v>
      </c>
      <c r="X38" s="20">
        <f t="shared" si="44"/>
        <v>2818</v>
      </c>
      <c r="Y38" s="20">
        <f t="shared" ref="Y38:Y41" si="53">I38*2</f>
        <v>2818</v>
      </c>
      <c r="Z38" s="20">
        <f t="shared" si="42"/>
        <v>2792</v>
      </c>
      <c r="AA38" s="20">
        <f t="shared" ref="AA38:AA41" si="54">K38*2</f>
        <v>2792</v>
      </c>
    </row>
    <row r="39" spans="2:27" ht="15.75" customHeight="1" x14ac:dyDescent="0.25">
      <c r="B39" s="45">
        <v>180</v>
      </c>
      <c r="C39" s="46">
        <v>177</v>
      </c>
      <c r="D39" s="47">
        <v>6</v>
      </c>
      <c r="E39" s="47">
        <v>6</v>
      </c>
      <c r="F39" s="47">
        <v>6</v>
      </c>
      <c r="G39" s="47">
        <v>6</v>
      </c>
      <c r="H39" s="5">
        <f t="shared" si="45"/>
        <v>1402</v>
      </c>
      <c r="I39" s="5">
        <f t="shared" ref="I39:I41" si="55">E39*C39+ROUNDUP(E39/2,0)*40+220</f>
        <v>1402</v>
      </c>
      <c r="J39" s="5">
        <f t="shared" si="49"/>
        <v>1282</v>
      </c>
      <c r="K39" s="5">
        <f t="shared" ref="K39:K41" si="56">$C39*G39+220</f>
        <v>1282</v>
      </c>
      <c r="L39" s="81"/>
      <c r="M39" s="81"/>
      <c r="N39" s="5">
        <f t="shared" ref="N39:Q39" si="57">N25+40</f>
        <v>1130</v>
      </c>
      <c r="O39" s="5">
        <f t="shared" si="57"/>
        <v>1155</v>
      </c>
      <c r="P39" s="5">
        <f t="shared" si="57"/>
        <v>1310</v>
      </c>
      <c r="Q39" s="8">
        <f t="shared" si="57"/>
        <v>1200</v>
      </c>
      <c r="S39" s="20">
        <f t="shared" si="43"/>
        <v>1182</v>
      </c>
      <c r="T39" s="20">
        <f t="shared" si="39"/>
        <v>1182</v>
      </c>
      <c r="U39" s="20">
        <f t="shared" si="40"/>
        <v>1062</v>
      </c>
      <c r="V39" s="20">
        <f t="shared" si="41"/>
        <v>1062</v>
      </c>
      <c r="X39" s="20">
        <f t="shared" si="44"/>
        <v>2804</v>
      </c>
      <c r="Y39" s="20">
        <f t="shared" si="53"/>
        <v>2804</v>
      </c>
      <c r="Z39" s="20">
        <f t="shared" si="42"/>
        <v>2564</v>
      </c>
      <c r="AA39" s="20">
        <f t="shared" si="54"/>
        <v>2564</v>
      </c>
    </row>
    <row r="40" spans="2:27" ht="15.75" customHeight="1" x14ac:dyDescent="0.25">
      <c r="B40" s="45">
        <v>200</v>
      </c>
      <c r="C40" s="46">
        <v>197</v>
      </c>
      <c r="D40" s="47">
        <v>5</v>
      </c>
      <c r="E40" s="47">
        <v>5</v>
      </c>
      <c r="F40" s="47">
        <v>6</v>
      </c>
      <c r="G40" s="47">
        <v>6</v>
      </c>
      <c r="H40" s="5">
        <f t="shared" si="45"/>
        <v>1325</v>
      </c>
      <c r="I40" s="5">
        <f t="shared" si="55"/>
        <v>1325</v>
      </c>
      <c r="J40" s="5">
        <f t="shared" si="49"/>
        <v>1402</v>
      </c>
      <c r="K40" s="5">
        <f t="shared" si="56"/>
        <v>1402</v>
      </c>
      <c r="L40" s="81"/>
      <c r="M40" s="81"/>
      <c r="N40" s="5">
        <f t="shared" ref="N40:Q40" si="58">N26+40</f>
        <v>1130</v>
      </c>
      <c r="O40" s="5">
        <f t="shared" si="58"/>
        <v>1155</v>
      </c>
      <c r="P40" s="5">
        <f t="shared" si="58"/>
        <v>1310</v>
      </c>
      <c r="Q40" s="8">
        <f t="shared" si="58"/>
        <v>1200</v>
      </c>
      <c r="S40" s="20">
        <f t="shared" si="43"/>
        <v>1105</v>
      </c>
      <c r="T40" s="20">
        <f t="shared" si="39"/>
        <v>1105</v>
      </c>
      <c r="U40" s="20">
        <f t="shared" si="40"/>
        <v>1182</v>
      </c>
      <c r="V40" s="20">
        <f t="shared" si="41"/>
        <v>1182</v>
      </c>
      <c r="X40" s="20">
        <f t="shared" si="44"/>
        <v>2650</v>
      </c>
      <c r="Y40" s="20">
        <f t="shared" si="53"/>
        <v>2650</v>
      </c>
      <c r="Z40" s="20">
        <f t="shared" si="42"/>
        <v>2804</v>
      </c>
      <c r="AA40" s="20">
        <f t="shared" si="54"/>
        <v>2804</v>
      </c>
    </row>
    <row r="41" spans="2:27" ht="15.75" customHeight="1" thickBot="1" x14ac:dyDescent="0.3">
      <c r="B41" s="48">
        <v>250</v>
      </c>
      <c r="C41" s="49">
        <v>247</v>
      </c>
      <c r="D41" s="50">
        <v>4</v>
      </c>
      <c r="E41" s="50">
        <v>4</v>
      </c>
      <c r="F41" s="50">
        <v>4</v>
      </c>
      <c r="G41" s="50">
        <v>4</v>
      </c>
      <c r="H41" s="13">
        <f t="shared" si="45"/>
        <v>1288</v>
      </c>
      <c r="I41" s="13">
        <f t="shared" si="55"/>
        <v>1288</v>
      </c>
      <c r="J41" s="13">
        <f t="shared" si="49"/>
        <v>1208</v>
      </c>
      <c r="K41" s="13">
        <f t="shared" si="56"/>
        <v>1208</v>
      </c>
      <c r="L41" s="96"/>
      <c r="M41" s="96"/>
      <c r="N41" s="13">
        <f t="shared" ref="N41:Q41" si="59">N27+40</f>
        <v>1130</v>
      </c>
      <c r="O41" s="13">
        <f t="shared" si="59"/>
        <v>1155</v>
      </c>
      <c r="P41" s="13">
        <f t="shared" si="59"/>
        <v>1310</v>
      </c>
      <c r="Q41" s="14">
        <f t="shared" si="59"/>
        <v>1200</v>
      </c>
      <c r="S41" s="20">
        <f t="shared" si="43"/>
        <v>1068</v>
      </c>
      <c r="T41" s="20">
        <f t="shared" si="39"/>
        <v>1068</v>
      </c>
      <c r="U41" s="20">
        <f t="shared" si="40"/>
        <v>988</v>
      </c>
      <c r="V41" s="20">
        <f t="shared" si="41"/>
        <v>988</v>
      </c>
      <c r="X41" s="20">
        <f t="shared" si="44"/>
        <v>2576</v>
      </c>
      <c r="Y41" s="20">
        <f t="shared" si="53"/>
        <v>2576</v>
      </c>
      <c r="Z41" s="20">
        <f t="shared" si="42"/>
        <v>2416</v>
      </c>
      <c r="AA41" s="20">
        <f t="shared" si="54"/>
        <v>2416</v>
      </c>
    </row>
    <row r="42" spans="2:27" ht="15.75" customHeight="1" x14ac:dyDescent="0.25">
      <c r="B42" s="40" t="s">
        <v>73</v>
      </c>
      <c r="C42" s="41"/>
      <c r="D42" s="41"/>
    </row>
    <row r="43" spans="2:27" ht="15.75" customHeight="1" thickBot="1" x14ac:dyDescent="0.3"/>
    <row r="44" spans="2:27" ht="15.75" customHeight="1" x14ac:dyDescent="0.25">
      <c r="B44" s="75" t="s">
        <v>2</v>
      </c>
      <c r="C44" s="77" t="s">
        <v>64</v>
      </c>
      <c r="D44" s="83" t="s">
        <v>18</v>
      </c>
      <c r="E44" s="83"/>
      <c r="F44" s="83"/>
      <c r="G44" s="83"/>
      <c r="H44" s="84" t="s">
        <v>3</v>
      </c>
      <c r="I44" s="85"/>
      <c r="J44" s="85"/>
      <c r="K44" s="86"/>
      <c r="L44" s="93" t="s">
        <v>4</v>
      </c>
      <c r="M44" s="93"/>
      <c r="N44" s="91" t="s">
        <v>5</v>
      </c>
      <c r="O44" s="91"/>
      <c r="P44" s="91"/>
      <c r="Q44" s="91"/>
      <c r="S44" s="52" t="s">
        <v>3</v>
      </c>
      <c r="T44" s="53"/>
      <c r="U44" s="53"/>
      <c r="V44" s="66"/>
      <c r="X44" s="52" t="s">
        <v>3</v>
      </c>
      <c r="Y44" s="53"/>
      <c r="Z44" s="53"/>
      <c r="AA44" s="66"/>
    </row>
    <row r="45" spans="2:27" ht="15.75" customHeight="1" x14ac:dyDescent="0.25">
      <c r="B45" s="76"/>
      <c r="C45" s="78"/>
      <c r="D45" s="87" t="s">
        <v>28</v>
      </c>
      <c r="E45" s="87"/>
      <c r="F45" s="87"/>
      <c r="G45" s="87"/>
      <c r="H45" s="88" t="s">
        <v>41</v>
      </c>
      <c r="I45" s="89"/>
      <c r="J45" s="89"/>
      <c r="K45" s="90"/>
      <c r="L45" s="92" t="s">
        <v>43</v>
      </c>
      <c r="M45" s="92"/>
      <c r="N45" s="92" t="s">
        <v>40</v>
      </c>
      <c r="O45" s="92"/>
      <c r="P45" s="92"/>
      <c r="Q45" s="92"/>
      <c r="S45" s="67" t="s">
        <v>69</v>
      </c>
      <c r="T45" s="68"/>
      <c r="U45" s="68"/>
      <c r="V45" s="69"/>
      <c r="X45" s="67" t="s">
        <v>70</v>
      </c>
      <c r="Y45" s="68"/>
      <c r="Z45" s="68"/>
      <c r="AA45" s="69"/>
    </row>
    <row r="46" spans="2:27" ht="15.75" customHeight="1" x14ac:dyDescent="0.25">
      <c r="B46" s="76"/>
      <c r="C46" s="79"/>
      <c r="D46" s="23" t="s">
        <v>31</v>
      </c>
      <c r="E46" s="23" t="s">
        <v>32</v>
      </c>
      <c r="F46" s="24" t="s">
        <v>33</v>
      </c>
      <c r="G46" s="24" t="s">
        <v>34</v>
      </c>
      <c r="H46" s="23" t="s">
        <v>42</v>
      </c>
      <c r="I46" s="23" t="s">
        <v>32</v>
      </c>
      <c r="J46" s="24" t="s">
        <v>33</v>
      </c>
      <c r="K46" s="24" t="s">
        <v>34</v>
      </c>
      <c r="L46" s="4" t="s">
        <v>0</v>
      </c>
      <c r="M46" s="4" t="s">
        <v>1</v>
      </c>
      <c r="N46" s="4" t="s">
        <v>6</v>
      </c>
      <c r="O46" s="4" t="s">
        <v>65</v>
      </c>
      <c r="P46" s="4" t="s">
        <v>7</v>
      </c>
      <c r="Q46" s="6" t="s">
        <v>8</v>
      </c>
      <c r="S46" s="17" t="s">
        <v>42</v>
      </c>
      <c r="T46" s="17" t="s">
        <v>32</v>
      </c>
      <c r="U46" s="16" t="s">
        <v>33</v>
      </c>
      <c r="V46" s="16" t="s">
        <v>34</v>
      </c>
      <c r="X46" s="17" t="s">
        <v>42</v>
      </c>
      <c r="Y46" s="17" t="s">
        <v>32</v>
      </c>
      <c r="Z46" s="16" t="s">
        <v>33</v>
      </c>
      <c r="AA46" s="16" t="s">
        <v>34</v>
      </c>
    </row>
    <row r="47" spans="2:27" ht="15.75" customHeight="1" x14ac:dyDescent="0.25">
      <c r="B47" s="25" t="s">
        <v>68</v>
      </c>
      <c r="C47" s="26">
        <v>50</v>
      </c>
      <c r="D47" s="27">
        <v>16</v>
      </c>
      <c r="E47" s="27" t="s">
        <v>12</v>
      </c>
      <c r="F47" s="29">
        <v>22</v>
      </c>
      <c r="G47" s="29" t="s">
        <v>15</v>
      </c>
      <c r="H47" s="5">
        <f>D47*$C47+ROUNDUP(D47/2,0)*40+280</f>
        <v>1400</v>
      </c>
      <c r="I47" s="5">
        <f>7*$C47+ROUNDUP(7/2,0)*40+280</f>
        <v>790</v>
      </c>
      <c r="J47" s="5">
        <f>$C47*F47+280</f>
        <v>1380</v>
      </c>
      <c r="K47" s="5">
        <f>$C47*10+280</f>
        <v>780</v>
      </c>
      <c r="L47" s="80" t="s">
        <v>66</v>
      </c>
      <c r="M47" s="80" t="s">
        <v>66</v>
      </c>
      <c r="N47" s="5">
        <f t="shared" ref="N47:N55" si="60">N33+30</f>
        <v>1160</v>
      </c>
      <c r="O47" s="5">
        <f t="shared" ref="O47:Q48" si="61">O33+30</f>
        <v>1185</v>
      </c>
      <c r="P47" s="5">
        <f t="shared" si="61"/>
        <v>1340</v>
      </c>
      <c r="Q47" s="5">
        <f t="shared" si="61"/>
        <v>1230</v>
      </c>
      <c r="S47" s="20">
        <f>H47-280</f>
        <v>1120</v>
      </c>
      <c r="T47" s="20">
        <f t="shared" ref="T47:T55" si="62">I47-280</f>
        <v>510</v>
      </c>
      <c r="U47" s="20">
        <f>J47-280</f>
        <v>1100</v>
      </c>
      <c r="V47" s="20">
        <f t="shared" ref="V47:V55" si="63">K47-280</f>
        <v>500</v>
      </c>
      <c r="X47" s="20">
        <f>H47*2</f>
        <v>2800</v>
      </c>
      <c r="Y47" s="20">
        <f>I47*3</f>
        <v>2370</v>
      </c>
      <c r="Z47" s="20">
        <f t="shared" ref="Z47:Z55" si="64">J47*2</f>
        <v>2760</v>
      </c>
      <c r="AA47" s="20">
        <f>K47*3</f>
        <v>2340</v>
      </c>
    </row>
    <row r="48" spans="2:27" ht="15.75" customHeight="1" x14ac:dyDescent="0.25">
      <c r="B48" s="45">
        <v>60</v>
      </c>
      <c r="C48" s="46">
        <v>61</v>
      </c>
      <c r="D48" s="47">
        <v>13</v>
      </c>
      <c r="E48" s="47" t="s">
        <v>12</v>
      </c>
      <c r="F48" s="47">
        <v>18</v>
      </c>
      <c r="G48" s="47" t="s">
        <v>15</v>
      </c>
      <c r="H48" s="5">
        <f>D48*$C48+ROUNDUP(D48/2,0)*40+280</f>
        <v>1353</v>
      </c>
      <c r="I48" s="5">
        <f>7*$C48+ROUNDUP(7/2,0)*40+280</f>
        <v>867</v>
      </c>
      <c r="J48" s="5">
        <f>$C48*F48+280</f>
        <v>1378</v>
      </c>
      <c r="K48" s="5">
        <f>$C48*10+280</f>
        <v>890</v>
      </c>
      <c r="L48" s="81"/>
      <c r="M48" s="81"/>
      <c r="N48" s="5">
        <f t="shared" si="60"/>
        <v>1160</v>
      </c>
      <c r="O48" s="5">
        <f t="shared" si="61"/>
        <v>1185</v>
      </c>
      <c r="P48" s="5">
        <f t="shared" si="61"/>
        <v>1340</v>
      </c>
      <c r="Q48" s="5">
        <f t="shared" si="61"/>
        <v>1230</v>
      </c>
      <c r="S48" s="20">
        <f t="shared" ref="S48:S55" si="65">H48-280</f>
        <v>1073</v>
      </c>
      <c r="T48" s="20">
        <f t="shared" si="62"/>
        <v>587</v>
      </c>
      <c r="U48" s="20">
        <f t="shared" ref="U48:U55" si="66">J48-280</f>
        <v>1098</v>
      </c>
      <c r="V48" s="20">
        <f t="shared" si="63"/>
        <v>610</v>
      </c>
      <c r="X48" s="20">
        <f t="shared" ref="X48:X55" si="67">H48*2</f>
        <v>2706</v>
      </c>
      <c r="Y48" s="20">
        <f>I48*3</f>
        <v>2601</v>
      </c>
      <c r="Z48" s="20">
        <f t="shared" si="64"/>
        <v>2756</v>
      </c>
      <c r="AA48" s="20">
        <f>K48*3</f>
        <v>2670</v>
      </c>
    </row>
    <row r="49" spans="2:27" ht="15.75" customHeight="1" x14ac:dyDescent="0.25">
      <c r="B49" s="45">
        <v>80</v>
      </c>
      <c r="C49" s="46">
        <v>79</v>
      </c>
      <c r="D49" s="47">
        <v>11</v>
      </c>
      <c r="E49" s="47" t="s">
        <v>13</v>
      </c>
      <c r="F49" s="47">
        <v>14</v>
      </c>
      <c r="G49" s="47" t="s">
        <v>16</v>
      </c>
      <c r="H49" s="5">
        <f>D49*$C49+ROUNDUP(D49/2,0)*40+280</f>
        <v>1389</v>
      </c>
      <c r="I49" s="5">
        <f>6*$C49+ROUNDUP(6/2,0)*40+280</f>
        <v>874</v>
      </c>
      <c r="J49" s="5">
        <f t="shared" ref="J49:J55" si="68">$C49*F49+280</f>
        <v>1386</v>
      </c>
      <c r="K49" s="5">
        <f>$C49*8+280</f>
        <v>912</v>
      </c>
      <c r="L49" s="81"/>
      <c r="M49" s="81"/>
      <c r="N49" s="5">
        <f t="shared" si="60"/>
        <v>1160</v>
      </c>
      <c r="O49" s="5">
        <f t="shared" ref="O49:Q55" si="69">O35+30</f>
        <v>1185</v>
      </c>
      <c r="P49" s="5">
        <f t="shared" si="69"/>
        <v>1340</v>
      </c>
      <c r="Q49" s="5">
        <f t="shared" si="69"/>
        <v>1230</v>
      </c>
      <c r="S49" s="20">
        <f t="shared" si="65"/>
        <v>1109</v>
      </c>
      <c r="T49" s="20">
        <f t="shared" si="62"/>
        <v>594</v>
      </c>
      <c r="U49" s="20">
        <f t="shared" si="66"/>
        <v>1106</v>
      </c>
      <c r="V49" s="20">
        <f t="shared" si="63"/>
        <v>632</v>
      </c>
      <c r="X49" s="20">
        <f t="shared" si="67"/>
        <v>2778</v>
      </c>
      <c r="Y49" s="20">
        <f t="shared" ref="Y49:Y51" si="70">I49*3</f>
        <v>2622</v>
      </c>
      <c r="Z49" s="20">
        <f t="shared" si="64"/>
        <v>2772</v>
      </c>
      <c r="AA49" s="20">
        <f t="shared" ref="AA49:AA51" si="71">K49*3</f>
        <v>2736</v>
      </c>
    </row>
    <row r="50" spans="2:27" ht="15.75" customHeight="1" x14ac:dyDescent="0.25">
      <c r="B50" s="45">
        <v>100</v>
      </c>
      <c r="C50" s="46">
        <v>97</v>
      </c>
      <c r="D50" s="47">
        <v>9</v>
      </c>
      <c r="E50" s="47" t="s">
        <v>14</v>
      </c>
      <c r="F50" s="47">
        <v>11</v>
      </c>
      <c r="G50" s="47" t="s">
        <v>13</v>
      </c>
      <c r="H50" s="5">
        <f>D50*$C50+ROUNDUP(D50/2,0)*40+280</f>
        <v>1353</v>
      </c>
      <c r="I50" s="5">
        <f>5*$C50+ROUNDUP(5/2,0)*40+280</f>
        <v>885</v>
      </c>
      <c r="J50" s="5">
        <f t="shared" si="68"/>
        <v>1347</v>
      </c>
      <c r="K50" s="5">
        <f>$C50*6+280</f>
        <v>862</v>
      </c>
      <c r="L50" s="81"/>
      <c r="M50" s="81"/>
      <c r="N50" s="5">
        <f t="shared" si="60"/>
        <v>1160</v>
      </c>
      <c r="O50" s="5">
        <f t="shared" si="69"/>
        <v>1185</v>
      </c>
      <c r="P50" s="5">
        <f t="shared" si="69"/>
        <v>1340</v>
      </c>
      <c r="Q50" s="5">
        <f t="shared" si="69"/>
        <v>1230</v>
      </c>
      <c r="S50" s="20">
        <f t="shared" si="65"/>
        <v>1073</v>
      </c>
      <c r="T50" s="20">
        <f t="shared" si="62"/>
        <v>605</v>
      </c>
      <c r="U50" s="20">
        <f t="shared" si="66"/>
        <v>1067</v>
      </c>
      <c r="V50" s="20">
        <f t="shared" si="63"/>
        <v>582</v>
      </c>
      <c r="X50" s="20">
        <f t="shared" si="67"/>
        <v>2706</v>
      </c>
      <c r="Y50" s="20">
        <f t="shared" si="70"/>
        <v>2655</v>
      </c>
      <c r="Z50" s="20">
        <f t="shared" si="64"/>
        <v>2694</v>
      </c>
      <c r="AA50" s="20">
        <f t="shared" si="71"/>
        <v>2586</v>
      </c>
    </row>
    <row r="51" spans="2:27" ht="15.75" customHeight="1" x14ac:dyDescent="0.25">
      <c r="B51" s="45">
        <v>120</v>
      </c>
      <c r="C51" s="46">
        <v>124</v>
      </c>
      <c r="D51" s="47">
        <v>7</v>
      </c>
      <c r="E51" s="47" t="s">
        <v>62</v>
      </c>
      <c r="F51" s="47">
        <v>8</v>
      </c>
      <c r="G51" s="47" t="s">
        <v>14</v>
      </c>
      <c r="H51" s="5">
        <f t="shared" ref="H51:H55" si="72">D51*$C51+ROUNDUP(D51/2,0)*40+280</f>
        <v>1308</v>
      </c>
      <c r="I51" s="5">
        <f>4*$C51+ROUNDUP(4/2,0)*40+280</f>
        <v>856</v>
      </c>
      <c r="J51" s="5">
        <f t="shared" si="68"/>
        <v>1272</v>
      </c>
      <c r="K51" s="5">
        <f>$C51*5+280</f>
        <v>900</v>
      </c>
      <c r="L51" s="81"/>
      <c r="M51" s="81"/>
      <c r="N51" s="5">
        <f t="shared" si="60"/>
        <v>1160</v>
      </c>
      <c r="O51" s="5">
        <f t="shared" si="69"/>
        <v>1185</v>
      </c>
      <c r="P51" s="5">
        <f t="shared" si="69"/>
        <v>1340</v>
      </c>
      <c r="Q51" s="5">
        <f t="shared" si="69"/>
        <v>1230</v>
      </c>
      <c r="S51" s="20">
        <f t="shared" si="65"/>
        <v>1028</v>
      </c>
      <c r="T51" s="20">
        <f t="shared" si="62"/>
        <v>576</v>
      </c>
      <c r="U51" s="20">
        <f t="shared" si="66"/>
        <v>992</v>
      </c>
      <c r="V51" s="20">
        <f t="shared" si="63"/>
        <v>620</v>
      </c>
      <c r="X51" s="20">
        <f t="shared" si="67"/>
        <v>2616</v>
      </c>
      <c r="Y51" s="20">
        <f t="shared" si="70"/>
        <v>2568</v>
      </c>
      <c r="Z51" s="20">
        <f t="shared" si="64"/>
        <v>2544</v>
      </c>
      <c r="AA51" s="20">
        <f t="shared" si="71"/>
        <v>2700</v>
      </c>
    </row>
    <row r="52" spans="2:27" ht="15.75" customHeight="1" x14ac:dyDescent="0.25">
      <c r="B52" s="45">
        <v>150</v>
      </c>
      <c r="C52" s="46">
        <v>147</v>
      </c>
      <c r="D52" s="47">
        <v>6</v>
      </c>
      <c r="E52" s="47">
        <v>6</v>
      </c>
      <c r="F52" s="47">
        <v>7</v>
      </c>
      <c r="G52" s="47">
        <v>7</v>
      </c>
      <c r="H52" s="5">
        <f t="shared" si="72"/>
        <v>1282</v>
      </c>
      <c r="I52" s="5">
        <f>E52*$C52+ROUNDUP(E52/2,0)*40+280</f>
        <v>1282</v>
      </c>
      <c r="J52" s="5">
        <f t="shared" si="68"/>
        <v>1309</v>
      </c>
      <c r="K52" s="5">
        <f>$C52*G52+280</f>
        <v>1309</v>
      </c>
      <c r="L52" s="81"/>
      <c r="M52" s="81"/>
      <c r="N52" s="5">
        <f t="shared" si="60"/>
        <v>1160</v>
      </c>
      <c r="O52" s="5">
        <f t="shared" si="69"/>
        <v>1185</v>
      </c>
      <c r="P52" s="5">
        <f t="shared" si="69"/>
        <v>1340</v>
      </c>
      <c r="Q52" s="5">
        <f t="shared" si="69"/>
        <v>1230</v>
      </c>
      <c r="S52" s="20">
        <f t="shared" si="65"/>
        <v>1002</v>
      </c>
      <c r="T52" s="20">
        <f t="shared" si="62"/>
        <v>1002</v>
      </c>
      <c r="U52" s="20">
        <f t="shared" si="66"/>
        <v>1029</v>
      </c>
      <c r="V52" s="20">
        <f t="shared" si="63"/>
        <v>1029</v>
      </c>
      <c r="X52" s="20">
        <f t="shared" si="67"/>
        <v>2564</v>
      </c>
      <c r="Y52" s="20">
        <f t="shared" ref="Y52:Y55" si="73">I52*2</f>
        <v>2564</v>
      </c>
      <c r="Z52" s="20">
        <f t="shared" si="64"/>
        <v>2618</v>
      </c>
      <c r="AA52" s="20">
        <f t="shared" ref="AA52:AA55" si="74">K52*2</f>
        <v>2618</v>
      </c>
    </row>
    <row r="53" spans="2:27" ht="15.75" customHeight="1" x14ac:dyDescent="0.25">
      <c r="B53" s="45">
        <v>180</v>
      </c>
      <c r="C53" s="46">
        <v>177</v>
      </c>
      <c r="D53" s="47">
        <v>5</v>
      </c>
      <c r="E53" s="47">
        <v>6</v>
      </c>
      <c r="F53" s="47">
        <v>6</v>
      </c>
      <c r="G53" s="47">
        <v>6</v>
      </c>
      <c r="H53" s="5">
        <f t="shared" si="72"/>
        <v>1285</v>
      </c>
      <c r="I53" s="5">
        <f t="shared" ref="I53:I55" si="75">E53*$C53+ROUNDUP(E53/2,0)*40+280</f>
        <v>1462</v>
      </c>
      <c r="J53" s="5">
        <f t="shared" si="68"/>
        <v>1342</v>
      </c>
      <c r="K53" s="5">
        <f t="shared" ref="K53:K55" si="76">$C53*G53+280</f>
        <v>1342</v>
      </c>
      <c r="L53" s="81"/>
      <c r="M53" s="81"/>
      <c r="N53" s="5">
        <f t="shared" si="60"/>
        <v>1160</v>
      </c>
      <c r="O53" s="5">
        <f t="shared" si="69"/>
        <v>1185</v>
      </c>
      <c r="P53" s="5">
        <f t="shared" si="69"/>
        <v>1340</v>
      </c>
      <c r="Q53" s="5">
        <f t="shared" si="69"/>
        <v>1230</v>
      </c>
      <c r="S53" s="20">
        <f t="shared" si="65"/>
        <v>1005</v>
      </c>
      <c r="T53" s="20">
        <f t="shared" si="62"/>
        <v>1182</v>
      </c>
      <c r="U53" s="20">
        <f t="shared" si="66"/>
        <v>1062</v>
      </c>
      <c r="V53" s="20">
        <f t="shared" si="63"/>
        <v>1062</v>
      </c>
      <c r="X53" s="20">
        <f t="shared" si="67"/>
        <v>2570</v>
      </c>
      <c r="Y53" s="20">
        <f t="shared" si="73"/>
        <v>2924</v>
      </c>
      <c r="Z53" s="20">
        <f t="shared" si="64"/>
        <v>2684</v>
      </c>
      <c r="AA53" s="20">
        <f t="shared" si="74"/>
        <v>2684</v>
      </c>
    </row>
    <row r="54" spans="2:27" ht="15.75" customHeight="1" x14ac:dyDescent="0.25">
      <c r="B54" s="45">
        <v>200</v>
      </c>
      <c r="C54" s="46">
        <v>197</v>
      </c>
      <c r="D54" s="47">
        <v>5</v>
      </c>
      <c r="E54" s="47">
        <v>5</v>
      </c>
      <c r="F54" s="47">
        <v>5</v>
      </c>
      <c r="G54" s="47">
        <v>5</v>
      </c>
      <c r="H54" s="5">
        <f t="shared" si="72"/>
        <v>1385</v>
      </c>
      <c r="I54" s="5">
        <f t="shared" si="75"/>
        <v>1385</v>
      </c>
      <c r="J54" s="5">
        <f t="shared" si="68"/>
        <v>1265</v>
      </c>
      <c r="K54" s="5">
        <f t="shared" si="76"/>
        <v>1265</v>
      </c>
      <c r="L54" s="81"/>
      <c r="M54" s="81"/>
      <c r="N54" s="5">
        <f t="shared" si="60"/>
        <v>1160</v>
      </c>
      <c r="O54" s="5">
        <f t="shared" si="69"/>
        <v>1185</v>
      </c>
      <c r="P54" s="5">
        <f t="shared" si="69"/>
        <v>1340</v>
      </c>
      <c r="Q54" s="5">
        <f t="shared" si="69"/>
        <v>1230</v>
      </c>
      <c r="S54" s="20">
        <f t="shared" si="65"/>
        <v>1105</v>
      </c>
      <c r="T54" s="20">
        <f t="shared" si="62"/>
        <v>1105</v>
      </c>
      <c r="U54" s="20">
        <f t="shared" si="66"/>
        <v>985</v>
      </c>
      <c r="V54" s="20">
        <f t="shared" si="63"/>
        <v>985</v>
      </c>
      <c r="X54" s="20">
        <f t="shared" si="67"/>
        <v>2770</v>
      </c>
      <c r="Y54" s="20">
        <f t="shared" si="73"/>
        <v>2770</v>
      </c>
      <c r="Z54" s="20">
        <f t="shared" si="64"/>
        <v>2530</v>
      </c>
      <c r="AA54" s="20">
        <f t="shared" si="74"/>
        <v>2530</v>
      </c>
    </row>
    <row r="55" spans="2:27" ht="15.75" customHeight="1" thickBot="1" x14ac:dyDescent="0.3">
      <c r="B55" s="48">
        <v>250</v>
      </c>
      <c r="C55" s="49">
        <v>247</v>
      </c>
      <c r="D55" s="50">
        <v>4</v>
      </c>
      <c r="E55" s="50">
        <v>4</v>
      </c>
      <c r="F55" s="50">
        <v>4</v>
      </c>
      <c r="G55" s="50">
        <v>4</v>
      </c>
      <c r="H55" s="5">
        <f t="shared" si="72"/>
        <v>1348</v>
      </c>
      <c r="I55" s="5">
        <f t="shared" si="75"/>
        <v>1348</v>
      </c>
      <c r="J55" s="5">
        <f t="shared" si="68"/>
        <v>1268</v>
      </c>
      <c r="K55" s="5">
        <f t="shared" si="76"/>
        <v>1268</v>
      </c>
      <c r="L55" s="82"/>
      <c r="M55" s="82"/>
      <c r="N55" s="5">
        <f t="shared" si="60"/>
        <v>1160</v>
      </c>
      <c r="O55" s="5">
        <f t="shared" si="69"/>
        <v>1185</v>
      </c>
      <c r="P55" s="5">
        <f t="shared" si="69"/>
        <v>1340</v>
      </c>
      <c r="Q55" s="5">
        <f t="shared" si="69"/>
        <v>1230</v>
      </c>
      <c r="S55" s="20">
        <f t="shared" si="65"/>
        <v>1068</v>
      </c>
      <c r="T55" s="20">
        <f t="shared" si="62"/>
        <v>1068</v>
      </c>
      <c r="U55" s="20">
        <f t="shared" si="66"/>
        <v>988</v>
      </c>
      <c r="V55" s="20">
        <f t="shared" si="63"/>
        <v>988</v>
      </c>
      <c r="X55" s="20">
        <f t="shared" si="67"/>
        <v>2696</v>
      </c>
      <c r="Y55" s="20">
        <f t="shared" si="73"/>
        <v>2696</v>
      </c>
      <c r="Z55" s="20">
        <f t="shared" si="64"/>
        <v>2536</v>
      </c>
      <c r="AA55" s="20">
        <f t="shared" si="74"/>
        <v>2536</v>
      </c>
    </row>
    <row r="56" spans="2:27" ht="15.75" customHeight="1" x14ac:dyDescent="0.25">
      <c r="B56" s="40" t="s">
        <v>75</v>
      </c>
      <c r="C56" s="41"/>
      <c r="D56" s="41"/>
    </row>
    <row r="57" spans="2:27" ht="15.75" customHeight="1" thickBot="1" x14ac:dyDescent="0.3"/>
    <row r="58" spans="2:27" ht="15.75" customHeight="1" x14ac:dyDescent="0.25">
      <c r="B58" s="75" t="s">
        <v>2</v>
      </c>
      <c r="C58" s="77" t="s">
        <v>64</v>
      </c>
      <c r="D58" s="83" t="s">
        <v>18</v>
      </c>
      <c r="E58" s="83"/>
      <c r="F58" s="83"/>
      <c r="G58" s="83"/>
      <c r="H58" s="84" t="s">
        <v>3</v>
      </c>
      <c r="I58" s="85"/>
      <c r="J58" s="85"/>
      <c r="K58" s="86"/>
      <c r="L58" s="93" t="s">
        <v>4</v>
      </c>
      <c r="M58" s="93"/>
      <c r="N58" s="91" t="s">
        <v>5</v>
      </c>
      <c r="O58" s="91"/>
      <c r="P58" s="91"/>
      <c r="Q58" s="91"/>
      <c r="S58" s="52" t="s">
        <v>3</v>
      </c>
      <c r="T58" s="53"/>
      <c r="U58" s="53"/>
      <c r="V58" s="66"/>
      <c r="X58" s="52" t="s">
        <v>3</v>
      </c>
      <c r="Y58" s="53"/>
      <c r="Z58" s="53"/>
      <c r="AA58" s="66"/>
    </row>
    <row r="59" spans="2:27" ht="15.75" customHeight="1" x14ac:dyDescent="0.25">
      <c r="B59" s="76"/>
      <c r="C59" s="78"/>
      <c r="D59" s="87" t="s">
        <v>72</v>
      </c>
      <c r="E59" s="87"/>
      <c r="F59" s="87"/>
      <c r="G59" s="87"/>
      <c r="H59" s="88" t="s">
        <v>41</v>
      </c>
      <c r="I59" s="89"/>
      <c r="J59" s="89"/>
      <c r="K59" s="90"/>
      <c r="L59" s="92" t="s">
        <v>43</v>
      </c>
      <c r="M59" s="92"/>
      <c r="N59" s="92" t="s">
        <v>40</v>
      </c>
      <c r="O59" s="92"/>
      <c r="P59" s="92"/>
      <c r="Q59" s="92"/>
      <c r="S59" s="67" t="s">
        <v>69</v>
      </c>
      <c r="T59" s="68"/>
      <c r="U59" s="68"/>
      <c r="V59" s="69"/>
      <c r="X59" s="67" t="s">
        <v>70</v>
      </c>
      <c r="Y59" s="68"/>
      <c r="Z59" s="68"/>
      <c r="AA59" s="69"/>
    </row>
    <row r="60" spans="2:27" ht="15.75" customHeight="1" x14ac:dyDescent="0.25">
      <c r="B60" s="76"/>
      <c r="C60" s="79"/>
      <c r="D60" s="23" t="s">
        <v>31</v>
      </c>
      <c r="E60" s="23" t="s">
        <v>32</v>
      </c>
      <c r="F60" s="24" t="s">
        <v>33</v>
      </c>
      <c r="G60" s="24" t="s">
        <v>34</v>
      </c>
      <c r="H60" s="23" t="s">
        <v>42</v>
      </c>
      <c r="I60" s="23" t="s">
        <v>32</v>
      </c>
      <c r="J60" s="24" t="s">
        <v>33</v>
      </c>
      <c r="K60" s="24" t="s">
        <v>34</v>
      </c>
      <c r="L60" s="4" t="s">
        <v>0</v>
      </c>
      <c r="M60" s="4" t="s">
        <v>1</v>
      </c>
      <c r="N60" s="4" t="s">
        <v>6</v>
      </c>
      <c r="O60" s="4" t="s">
        <v>65</v>
      </c>
      <c r="P60" s="4" t="s">
        <v>7</v>
      </c>
      <c r="Q60" s="6" t="s">
        <v>8</v>
      </c>
      <c r="S60" s="17" t="s">
        <v>42</v>
      </c>
      <c r="T60" s="17" t="s">
        <v>32</v>
      </c>
      <c r="U60" s="16" t="s">
        <v>33</v>
      </c>
      <c r="V60" s="16" t="s">
        <v>34</v>
      </c>
      <c r="X60" s="17" t="s">
        <v>42</v>
      </c>
      <c r="Y60" s="17" t="s">
        <v>32</v>
      </c>
      <c r="Z60" s="16" t="s">
        <v>33</v>
      </c>
      <c r="AA60" s="16" t="s">
        <v>34</v>
      </c>
    </row>
    <row r="61" spans="2:27" ht="15.75" customHeight="1" x14ac:dyDescent="0.25">
      <c r="B61" s="25" t="s">
        <v>68</v>
      </c>
      <c r="C61" s="26">
        <v>50</v>
      </c>
      <c r="D61" s="27">
        <v>15</v>
      </c>
      <c r="E61" s="27" t="s">
        <v>12</v>
      </c>
      <c r="F61" s="29">
        <v>21</v>
      </c>
      <c r="G61" s="29" t="s">
        <v>15</v>
      </c>
      <c r="H61" s="5">
        <f>D61*$C61+ROUNDUP(D61/2,0)*40+320</f>
        <v>1390</v>
      </c>
      <c r="I61" s="5">
        <f>7*$C61+ROUNDUP(7/2,0)*40+320</f>
        <v>830</v>
      </c>
      <c r="J61" s="5">
        <f>$C61*F61+320</f>
        <v>1370</v>
      </c>
      <c r="K61" s="5">
        <f>$C61*10+320</f>
        <v>820</v>
      </c>
      <c r="L61" s="80" t="s">
        <v>30</v>
      </c>
      <c r="M61" s="80" t="s">
        <v>30</v>
      </c>
      <c r="N61" s="5">
        <f t="shared" ref="N61:Q69" si="77">N47+30</f>
        <v>1190</v>
      </c>
      <c r="O61" s="5">
        <f t="shared" ref="O61:Q61" si="78">O47+30</f>
        <v>1215</v>
      </c>
      <c r="P61" s="5">
        <f t="shared" si="78"/>
        <v>1370</v>
      </c>
      <c r="Q61" s="5">
        <f t="shared" si="78"/>
        <v>1260</v>
      </c>
      <c r="S61" s="20">
        <f>H61-280</f>
        <v>1110</v>
      </c>
      <c r="T61" s="20">
        <f t="shared" ref="T61:T69" si="79">I61-280</f>
        <v>550</v>
      </c>
      <c r="U61" s="20">
        <f>J61-280</f>
        <v>1090</v>
      </c>
      <c r="V61" s="20">
        <f t="shared" ref="V61:V69" si="80">K61-280</f>
        <v>540</v>
      </c>
      <c r="X61" s="20">
        <f>H61*2</f>
        <v>2780</v>
      </c>
      <c r="Y61" s="20">
        <f>I61*3</f>
        <v>2490</v>
      </c>
      <c r="Z61" s="20">
        <f t="shared" ref="Z61:Z69" si="81">J61*2</f>
        <v>2740</v>
      </c>
      <c r="AA61" s="20">
        <f>K61*3</f>
        <v>2460</v>
      </c>
    </row>
    <row r="62" spans="2:27" ht="15.75" customHeight="1" x14ac:dyDescent="0.25">
      <c r="B62" s="45">
        <v>60</v>
      </c>
      <c r="C62" s="46">
        <v>61</v>
      </c>
      <c r="D62" s="47">
        <v>13</v>
      </c>
      <c r="E62" s="47" t="s">
        <v>12</v>
      </c>
      <c r="F62" s="47">
        <v>17</v>
      </c>
      <c r="G62" s="47" t="s">
        <v>15</v>
      </c>
      <c r="H62" s="5">
        <f t="shared" ref="H62:H69" si="82">D62*$C62+ROUNDUP(D62/2,0)*40+320</f>
        <v>1393</v>
      </c>
      <c r="I62" s="5">
        <f>7*$C62+ROUNDUP(7/2,0)*40+320</f>
        <v>907</v>
      </c>
      <c r="J62" s="5">
        <f t="shared" ref="J62:J69" si="83">$C62*F62+320</f>
        <v>1357</v>
      </c>
      <c r="K62" s="5">
        <f>$C62*10+320</f>
        <v>930</v>
      </c>
      <c r="L62" s="81"/>
      <c r="M62" s="81"/>
      <c r="N62" s="5">
        <f t="shared" si="77"/>
        <v>1190</v>
      </c>
      <c r="O62" s="5">
        <f t="shared" ref="O62:Q62" si="84">O48+30</f>
        <v>1215</v>
      </c>
      <c r="P62" s="5">
        <f t="shared" si="84"/>
        <v>1370</v>
      </c>
      <c r="Q62" s="5">
        <f t="shared" si="84"/>
        <v>1260</v>
      </c>
      <c r="S62" s="20">
        <f t="shared" ref="S62:S69" si="85">H62-280</f>
        <v>1113</v>
      </c>
      <c r="T62" s="20">
        <f t="shared" si="79"/>
        <v>627</v>
      </c>
      <c r="U62" s="20">
        <f t="shared" ref="U62:U69" si="86">J62-280</f>
        <v>1077</v>
      </c>
      <c r="V62" s="20">
        <f t="shared" si="80"/>
        <v>650</v>
      </c>
      <c r="X62" s="20">
        <f t="shared" ref="X62:X69" si="87">H62*2</f>
        <v>2786</v>
      </c>
      <c r="Y62" s="20">
        <f>I62*3</f>
        <v>2721</v>
      </c>
      <c r="Z62" s="20">
        <f t="shared" si="81"/>
        <v>2714</v>
      </c>
      <c r="AA62" s="20">
        <f>K62*3</f>
        <v>2790</v>
      </c>
    </row>
    <row r="63" spans="2:27" ht="15.75" customHeight="1" x14ac:dyDescent="0.25">
      <c r="B63" s="45">
        <v>80</v>
      </c>
      <c r="C63" s="46">
        <v>79</v>
      </c>
      <c r="D63" s="47">
        <v>10</v>
      </c>
      <c r="E63" s="47" t="s">
        <v>13</v>
      </c>
      <c r="F63" s="47">
        <v>13</v>
      </c>
      <c r="G63" s="47" t="s">
        <v>12</v>
      </c>
      <c r="H63" s="5">
        <f t="shared" si="82"/>
        <v>1310</v>
      </c>
      <c r="I63" s="5">
        <f>6*$C63+ROUNDUP(6/2,0)*40+320</f>
        <v>914</v>
      </c>
      <c r="J63" s="5">
        <f t="shared" si="83"/>
        <v>1347</v>
      </c>
      <c r="K63" s="5">
        <f>$C63*7+320</f>
        <v>873</v>
      </c>
      <c r="L63" s="81"/>
      <c r="M63" s="81"/>
      <c r="N63" s="5">
        <f t="shared" si="77"/>
        <v>1190</v>
      </c>
      <c r="O63" s="5">
        <f t="shared" ref="O63:Q63" si="88">O49+30</f>
        <v>1215</v>
      </c>
      <c r="P63" s="5">
        <f t="shared" si="88"/>
        <v>1370</v>
      </c>
      <c r="Q63" s="5">
        <f t="shared" si="88"/>
        <v>1260</v>
      </c>
      <c r="S63" s="20">
        <f t="shared" si="85"/>
        <v>1030</v>
      </c>
      <c r="T63" s="20">
        <f t="shared" si="79"/>
        <v>634</v>
      </c>
      <c r="U63" s="20">
        <f t="shared" si="86"/>
        <v>1067</v>
      </c>
      <c r="V63" s="20">
        <f t="shared" si="80"/>
        <v>593</v>
      </c>
      <c r="X63" s="20">
        <f t="shared" si="87"/>
        <v>2620</v>
      </c>
      <c r="Y63" s="20">
        <f t="shared" ref="Y63:Y65" si="89">I63*3</f>
        <v>2742</v>
      </c>
      <c r="Z63" s="20">
        <f t="shared" si="81"/>
        <v>2694</v>
      </c>
      <c r="AA63" s="20">
        <f t="shared" ref="AA63:AA65" si="90">K63*3</f>
        <v>2619</v>
      </c>
    </row>
    <row r="64" spans="2:27" ht="15.75" customHeight="1" x14ac:dyDescent="0.25">
      <c r="B64" s="45">
        <v>100</v>
      </c>
      <c r="C64" s="46">
        <v>97</v>
      </c>
      <c r="D64" s="47">
        <v>9</v>
      </c>
      <c r="E64" s="47" t="s">
        <v>14</v>
      </c>
      <c r="F64" s="47">
        <v>11</v>
      </c>
      <c r="G64" s="47" t="s">
        <v>13</v>
      </c>
      <c r="H64" s="5">
        <f t="shared" si="82"/>
        <v>1393</v>
      </c>
      <c r="I64" s="5">
        <f>5*$C64+ROUNDUP(5/2,0)*40+320</f>
        <v>925</v>
      </c>
      <c r="J64" s="5">
        <f t="shared" si="83"/>
        <v>1387</v>
      </c>
      <c r="K64" s="5">
        <f>$C64*6+320</f>
        <v>902</v>
      </c>
      <c r="L64" s="81"/>
      <c r="M64" s="81"/>
      <c r="N64" s="5">
        <f t="shared" si="77"/>
        <v>1190</v>
      </c>
      <c r="O64" s="5">
        <f t="shared" ref="O64:Q64" si="91">O50+30</f>
        <v>1215</v>
      </c>
      <c r="P64" s="5">
        <f t="shared" si="91"/>
        <v>1370</v>
      </c>
      <c r="Q64" s="5">
        <f t="shared" si="91"/>
        <v>1260</v>
      </c>
      <c r="S64" s="20">
        <f t="shared" si="85"/>
        <v>1113</v>
      </c>
      <c r="T64" s="20">
        <f t="shared" si="79"/>
        <v>645</v>
      </c>
      <c r="U64" s="20">
        <f t="shared" si="86"/>
        <v>1107</v>
      </c>
      <c r="V64" s="20">
        <f t="shared" si="80"/>
        <v>622</v>
      </c>
      <c r="X64" s="20">
        <f t="shared" si="87"/>
        <v>2786</v>
      </c>
      <c r="Y64" s="20">
        <f t="shared" si="89"/>
        <v>2775</v>
      </c>
      <c r="Z64" s="20">
        <f t="shared" si="81"/>
        <v>2774</v>
      </c>
      <c r="AA64" s="20">
        <f t="shared" si="90"/>
        <v>2706</v>
      </c>
    </row>
    <row r="65" spans="2:27" ht="15.75" customHeight="1" x14ac:dyDescent="0.25">
      <c r="B65" s="45">
        <v>120</v>
      </c>
      <c r="C65" s="46">
        <v>124</v>
      </c>
      <c r="D65" s="47">
        <v>7</v>
      </c>
      <c r="E65" s="47" t="s">
        <v>62</v>
      </c>
      <c r="F65" s="47">
        <v>8</v>
      </c>
      <c r="G65" s="47" t="s">
        <v>14</v>
      </c>
      <c r="H65" s="5">
        <f t="shared" si="82"/>
        <v>1348</v>
      </c>
      <c r="I65" s="5">
        <f>4*$C65+ROUNDUP(4/2,0)*40+320</f>
        <v>896</v>
      </c>
      <c r="J65" s="5">
        <f t="shared" si="83"/>
        <v>1312</v>
      </c>
      <c r="K65" s="5">
        <f>$C65*5+320</f>
        <v>940</v>
      </c>
      <c r="L65" s="81"/>
      <c r="M65" s="81"/>
      <c r="N65" s="5">
        <f t="shared" si="77"/>
        <v>1190</v>
      </c>
      <c r="O65" s="5">
        <f t="shared" ref="O65:Q65" si="92">O51+30</f>
        <v>1215</v>
      </c>
      <c r="P65" s="5">
        <f t="shared" si="92"/>
        <v>1370</v>
      </c>
      <c r="Q65" s="5">
        <f t="shared" si="92"/>
        <v>1260</v>
      </c>
      <c r="S65" s="20">
        <f t="shared" si="85"/>
        <v>1068</v>
      </c>
      <c r="T65" s="20">
        <f t="shared" si="79"/>
        <v>616</v>
      </c>
      <c r="U65" s="20">
        <f t="shared" si="86"/>
        <v>1032</v>
      </c>
      <c r="V65" s="20">
        <f t="shared" si="80"/>
        <v>660</v>
      </c>
      <c r="X65" s="20">
        <f t="shared" si="87"/>
        <v>2696</v>
      </c>
      <c r="Y65" s="20">
        <f t="shared" si="89"/>
        <v>2688</v>
      </c>
      <c r="Z65" s="20">
        <f t="shared" si="81"/>
        <v>2624</v>
      </c>
      <c r="AA65" s="20">
        <f t="shared" si="90"/>
        <v>2820</v>
      </c>
    </row>
    <row r="66" spans="2:27" ht="15.75" customHeight="1" x14ac:dyDescent="0.25">
      <c r="B66" s="45">
        <v>150</v>
      </c>
      <c r="C66" s="46">
        <v>147</v>
      </c>
      <c r="D66" s="47">
        <v>6</v>
      </c>
      <c r="E66" s="47">
        <v>6</v>
      </c>
      <c r="F66" s="47">
        <v>7</v>
      </c>
      <c r="G66" s="47">
        <v>7</v>
      </c>
      <c r="H66" s="5">
        <f t="shared" si="82"/>
        <v>1322</v>
      </c>
      <c r="I66" s="5">
        <f>E66*$C66+ROUNDUP(E66/2,0)*40+320</f>
        <v>1322</v>
      </c>
      <c r="J66" s="5">
        <f t="shared" si="83"/>
        <v>1349</v>
      </c>
      <c r="K66" s="5">
        <f>$C66*G66+320</f>
        <v>1349</v>
      </c>
      <c r="L66" s="81"/>
      <c r="M66" s="81"/>
      <c r="N66" s="5">
        <f t="shared" si="77"/>
        <v>1190</v>
      </c>
      <c r="O66" s="5">
        <f t="shared" ref="O66:Q66" si="93">O52+30</f>
        <v>1215</v>
      </c>
      <c r="P66" s="5">
        <f t="shared" si="93"/>
        <v>1370</v>
      </c>
      <c r="Q66" s="5">
        <f t="shared" si="93"/>
        <v>1260</v>
      </c>
      <c r="S66" s="20">
        <f t="shared" si="85"/>
        <v>1042</v>
      </c>
      <c r="T66" s="20">
        <f t="shared" si="79"/>
        <v>1042</v>
      </c>
      <c r="U66" s="20">
        <f t="shared" si="86"/>
        <v>1069</v>
      </c>
      <c r="V66" s="20">
        <f t="shared" si="80"/>
        <v>1069</v>
      </c>
      <c r="X66" s="20">
        <f t="shared" si="87"/>
        <v>2644</v>
      </c>
      <c r="Y66" s="20">
        <f t="shared" ref="Y66:Y69" si="94">I66*2</f>
        <v>2644</v>
      </c>
      <c r="Z66" s="20">
        <f t="shared" si="81"/>
        <v>2698</v>
      </c>
      <c r="AA66" s="20">
        <f t="shared" ref="AA66:AA69" si="95">K66*2</f>
        <v>2698</v>
      </c>
    </row>
    <row r="67" spans="2:27" ht="15.75" customHeight="1" x14ac:dyDescent="0.25">
      <c r="B67" s="45">
        <v>180</v>
      </c>
      <c r="C67" s="46">
        <v>177</v>
      </c>
      <c r="D67" s="47">
        <v>5</v>
      </c>
      <c r="E67" s="47">
        <v>5</v>
      </c>
      <c r="F67" s="47">
        <v>6</v>
      </c>
      <c r="G67" s="47">
        <v>6</v>
      </c>
      <c r="H67" s="5">
        <f t="shared" si="82"/>
        <v>1325</v>
      </c>
      <c r="I67" s="5">
        <f>E67*$C67+ROUNDUP(E67/2,0)*40+320</f>
        <v>1325</v>
      </c>
      <c r="J67" s="5">
        <f t="shared" si="83"/>
        <v>1382</v>
      </c>
      <c r="K67" s="5">
        <f>$C67*G67+320</f>
        <v>1382</v>
      </c>
      <c r="L67" s="81"/>
      <c r="M67" s="81"/>
      <c r="N67" s="5">
        <f t="shared" si="77"/>
        <v>1190</v>
      </c>
      <c r="O67" s="5">
        <f t="shared" ref="O67:Q67" si="96">O53+30</f>
        <v>1215</v>
      </c>
      <c r="P67" s="5">
        <f t="shared" si="96"/>
        <v>1370</v>
      </c>
      <c r="Q67" s="5">
        <f t="shared" si="96"/>
        <v>1260</v>
      </c>
      <c r="S67" s="20">
        <f t="shared" si="85"/>
        <v>1045</v>
      </c>
      <c r="T67" s="20">
        <f t="shared" si="79"/>
        <v>1045</v>
      </c>
      <c r="U67" s="20">
        <f t="shared" si="86"/>
        <v>1102</v>
      </c>
      <c r="V67" s="20">
        <f t="shared" si="80"/>
        <v>1102</v>
      </c>
      <c r="X67" s="20">
        <f t="shared" si="87"/>
        <v>2650</v>
      </c>
      <c r="Y67" s="20">
        <f t="shared" si="94"/>
        <v>2650</v>
      </c>
      <c r="Z67" s="20">
        <f t="shared" si="81"/>
        <v>2764</v>
      </c>
      <c r="AA67" s="20">
        <f t="shared" si="95"/>
        <v>2764</v>
      </c>
    </row>
    <row r="68" spans="2:27" ht="15.75" customHeight="1" x14ac:dyDescent="0.25">
      <c r="B68" s="45">
        <v>200</v>
      </c>
      <c r="C68" s="46">
        <v>197</v>
      </c>
      <c r="D68" s="47">
        <v>4</v>
      </c>
      <c r="E68" s="47">
        <v>4</v>
      </c>
      <c r="F68" s="47">
        <v>5</v>
      </c>
      <c r="G68" s="47">
        <v>5</v>
      </c>
      <c r="H68" s="5">
        <f t="shared" si="82"/>
        <v>1188</v>
      </c>
      <c r="I68" s="5">
        <f>E68*$C68+ROUNDUP(E68/2,0)*40+320</f>
        <v>1188</v>
      </c>
      <c r="J68" s="5">
        <f t="shared" si="83"/>
        <v>1305</v>
      </c>
      <c r="K68" s="5">
        <f>$C68*G68+320</f>
        <v>1305</v>
      </c>
      <c r="L68" s="81"/>
      <c r="M68" s="81"/>
      <c r="N68" s="5">
        <f t="shared" si="77"/>
        <v>1190</v>
      </c>
      <c r="O68" s="5">
        <f t="shared" ref="O68:Q68" si="97">O54+30</f>
        <v>1215</v>
      </c>
      <c r="P68" s="5">
        <f t="shared" si="97"/>
        <v>1370</v>
      </c>
      <c r="Q68" s="5">
        <f t="shared" si="97"/>
        <v>1260</v>
      </c>
      <c r="S68" s="20">
        <f t="shared" si="85"/>
        <v>908</v>
      </c>
      <c r="T68" s="20">
        <f t="shared" si="79"/>
        <v>908</v>
      </c>
      <c r="U68" s="20">
        <f t="shared" si="86"/>
        <v>1025</v>
      </c>
      <c r="V68" s="20">
        <f t="shared" si="80"/>
        <v>1025</v>
      </c>
      <c r="X68" s="20">
        <f t="shared" si="87"/>
        <v>2376</v>
      </c>
      <c r="Y68" s="20">
        <f t="shared" si="94"/>
        <v>2376</v>
      </c>
      <c r="Z68" s="20">
        <f t="shared" si="81"/>
        <v>2610</v>
      </c>
      <c r="AA68" s="20">
        <f t="shared" si="95"/>
        <v>2610</v>
      </c>
    </row>
    <row r="69" spans="2:27" ht="15.75" customHeight="1" thickBot="1" x14ac:dyDescent="0.3">
      <c r="B69" s="48">
        <v>250</v>
      </c>
      <c r="C69" s="49">
        <v>247</v>
      </c>
      <c r="D69" s="50">
        <v>4</v>
      </c>
      <c r="E69" s="50">
        <v>4</v>
      </c>
      <c r="F69" s="50">
        <v>4</v>
      </c>
      <c r="G69" s="50">
        <v>4</v>
      </c>
      <c r="H69" s="5">
        <f t="shared" si="82"/>
        <v>1388</v>
      </c>
      <c r="I69" s="5">
        <f>E69*$C69+ROUNDUP(E69/2,0)*40+320</f>
        <v>1388</v>
      </c>
      <c r="J69" s="5">
        <f t="shared" si="83"/>
        <v>1308</v>
      </c>
      <c r="K69" s="5">
        <f>$C69*G69+320</f>
        <v>1308</v>
      </c>
      <c r="L69" s="82"/>
      <c r="M69" s="82"/>
      <c r="N69" s="5">
        <f t="shared" si="77"/>
        <v>1190</v>
      </c>
      <c r="O69" s="5">
        <f t="shared" si="77"/>
        <v>1215</v>
      </c>
      <c r="P69" s="5">
        <f t="shared" si="77"/>
        <v>1370</v>
      </c>
      <c r="Q69" s="5">
        <f t="shared" si="77"/>
        <v>1260</v>
      </c>
      <c r="S69" s="20">
        <f t="shared" si="85"/>
        <v>1108</v>
      </c>
      <c r="T69" s="20">
        <f t="shared" si="79"/>
        <v>1108</v>
      </c>
      <c r="U69" s="20">
        <f t="shared" si="86"/>
        <v>1028</v>
      </c>
      <c r="V69" s="20">
        <f t="shared" si="80"/>
        <v>1028</v>
      </c>
      <c r="X69" s="20">
        <f t="shared" si="87"/>
        <v>2776</v>
      </c>
      <c r="Y69" s="20">
        <f t="shared" si="94"/>
        <v>2776</v>
      </c>
      <c r="Z69" s="20">
        <f t="shared" si="81"/>
        <v>2616</v>
      </c>
      <c r="AA69" s="20">
        <f t="shared" si="95"/>
        <v>2616</v>
      </c>
    </row>
    <row r="70" spans="2:27" ht="15.75" customHeight="1" x14ac:dyDescent="0.25">
      <c r="B70" s="40" t="s">
        <v>74</v>
      </c>
      <c r="C70" s="41"/>
      <c r="D70" s="41"/>
    </row>
    <row r="71" spans="2:27" ht="15" customHeight="1" x14ac:dyDescent="0.25"/>
  </sheetData>
  <mergeCells count="80">
    <mergeCell ref="X58:AA58"/>
    <mergeCell ref="D59:G59"/>
    <mergeCell ref="H59:K59"/>
    <mergeCell ref="L59:M59"/>
    <mergeCell ref="N59:Q59"/>
    <mergeCell ref="S59:V59"/>
    <mergeCell ref="X59:AA59"/>
    <mergeCell ref="D58:G58"/>
    <mergeCell ref="H58:K58"/>
    <mergeCell ref="L58:M58"/>
    <mergeCell ref="N58:Q58"/>
    <mergeCell ref="S58:V58"/>
    <mergeCell ref="S31:V31"/>
    <mergeCell ref="S44:V44"/>
    <mergeCell ref="S45:V45"/>
    <mergeCell ref="X2:AA2"/>
    <mergeCell ref="X3:AA3"/>
    <mergeCell ref="X16:AA16"/>
    <mergeCell ref="X17:AA17"/>
    <mergeCell ref="X30:AA30"/>
    <mergeCell ref="X31:AA31"/>
    <mergeCell ref="X44:AA44"/>
    <mergeCell ref="X45:AA45"/>
    <mergeCell ref="S2:V2"/>
    <mergeCell ref="S3:V3"/>
    <mergeCell ref="S16:V16"/>
    <mergeCell ref="S17:V17"/>
    <mergeCell ref="S30:V30"/>
    <mergeCell ref="N2:Q2"/>
    <mergeCell ref="D3:G3"/>
    <mergeCell ref="H3:K3"/>
    <mergeCell ref="L3:M3"/>
    <mergeCell ref="N3:Q3"/>
    <mergeCell ref="C16:C18"/>
    <mergeCell ref="B2:B4"/>
    <mergeCell ref="D2:G2"/>
    <mergeCell ref="H2:K2"/>
    <mergeCell ref="L2:M2"/>
    <mergeCell ref="C2:C4"/>
    <mergeCell ref="L5:L13"/>
    <mergeCell ref="M5:M13"/>
    <mergeCell ref="B16:B18"/>
    <mergeCell ref="N16:Q16"/>
    <mergeCell ref="D17:G17"/>
    <mergeCell ref="H17:K17"/>
    <mergeCell ref="L17:M17"/>
    <mergeCell ref="N17:Q17"/>
    <mergeCell ref="D16:G16"/>
    <mergeCell ref="H16:K16"/>
    <mergeCell ref="L16:M16"/>
    <mergeCell ref="L19:L27"/>
    <mergeCell ref="M19:M27"/>
    <mergeCell ref="B30:B32"/>
    <mergeCell ref="D30:G30"/>
    <mergeCell ref="H30:K30"/>
    <mergeCell ref="L30:M30"/>
    <mergeCell ref="D31:G31"/>
    <mergeCell ref="H31:K31"/>
    <mergeCell ref="L31:M31"/>
    <mergeCell ref="C30:C32"/>
    <mergeCell ref="N44:Q44"/>
    <mergeCell ref="N45:Q45"/>
    <mergeCell ref="L44:M44"/>
    <mergeCell ref="L45:M45"/>
    <mergeCell ref="N30:Q30"/>
    <mergeCell ref="N31:Q31"/>
    <mergeCell ref="L33:L41"/>
    <mergeCell ref="M33:M41"/>
    <mergeCell ref="C44:C46"/>
    <mergeCell ref="B44:B46"/>
    <mergeCell ref="D44:G44"/>
    <mergeCell ref="H44:K44"/>
    <mergeCell ref="D45:G45"/>
    <mergeCell ref="H45:K45"/>
    <mergeCell ref="B58:B60"/>
    <mergeCell ref="C58:C60"/>
    <mergeCell ref="L61:L69"/>
    <mergeCell ref="M61:M69"/>
    <mergeCell ref="L47:L55"/>
    <mergeCell ref="M47:M55"/>
  </mergeCells>
  <pageMargins left="0.7" right="0.7" top="0.75" bottom="0.75" header="0.3" footer="0.3"/>
  <pageSetup paperSize="9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Упаковка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2022-06-09T06:07:17Z</dcterms:modified>
</cp:coreProperties>
</file>